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updateLinks="never" codeName="ThisWorkbook" checkCompatibility="1"/>
  <mc:AlternateContent xmlns:mc="http://schemas.openxmlformats.org/markup-compatibility/2006">
    <mc:Choice Requires="x15">
      <x15ac:absPath xmlns:x15ac="http://schemas.microsoft.com/office/spreadsheetml/2010/11/ac" url="P:\PI\24I010R LK201_Somonino-Osowa\06_Podwykonawcy\Proc_wyboru\001.Obiekty-kompleks\! robocze\"/>
    </mc:Choice>
  </mc:AlternateContent>
  <xr:revisionPtr revIDLastSave="0" documentId="13_ncr:1_{772E61D6-62F9-48F0-AD4D-37F04DD310DA}" xr6:coauthVersionLast="47" xr6:coauthVersionMax="47" xr10:uidLastSave="{00000000-0000-0000-0000-000000000000}"/>
  <bookViews>
    <workbookView xWindow="-108" yWindow="-108" windowWidth="23256" windowHeight="12456" tabRatio="884" activeTab="1" xr2:uid="{00000000-000D-0000-FFFF-FFFF00000000}"/>
  </bookViews>
  <sheets>
    <sheet name="Str tyt_01" sheetId="130" r:id="rId1"/>
    <sheet name="ODCINEK B" sheetId="131" r:id="rId2"/>
    <sheet name="ODCINEK C" sheetId="133" r:id="rId3"/>
  </sheets>
  <externalReferences>
    <externalReference r:id="rId4"/>
  </externalReferences>
  <definedNames>
    <definedName name="_od1" localSheetId="0">#REF!</definedName>
    <definedName name="_od1">#REF!</definedName>
    <definedName name="_od2" localSheetId="0">#REF!</definedName>
    <definedName name="_od2">#REF!</definedName>
    <definedName name="_od3" localSheetId="0">#REF!</definedName>
    <definedName name="_od3">#REF!</definedName>
    <definedName name="_od4" localSheetId="0">#REF!</definedName>
    <definedName name="_od4">#REF!</definedName>
    <definedName name="_ods1" localSheetId="0">#REF!</definedName>
    <definedName name="_ods1">#REF!</definedName>
    <definedName name="_ods2" localSheetId="0">#REF!</definedName>
    <definedName name="_ods2">#REF!</definedName>
    <definedName name="_ods3" localSheetId="0">#REF!</definedName>
    <definedName name="_ods3">#REF!</definedName>
    <definedName name="_ods4" localSheetId="0">#REF!</definedName>
    <definedName name="_ods4">#REF!</definedName>
    <definedName name="_xlnm.Print_Area" localSheetId="1">'ODCINEK B'!$A$1:$I$2473</definedName>
    <definedName name="_xlnm.Print_Area" localSheetId="2">'ODCINEK C'!$A$1:$I$171</definedName>
    <definedName name="_xlnm.Print_Area" localSheetId="0">'Str tyt_01'!$A$1:$K$28</definedName>
    <definedName name="_xlnm.Print_Area">#REF!</definedName>
    <definedName name="P" localSheetId="1">#REF!</definedName>
    <definedName name="P" localSheetId="2">#REF!</definedName>
    <definedName name="P">#REF!</definedName>
    <definedName name="posz1" localSheetId="0">#REF!</definedName>
    <definedName name="posz1">#REF!</definedName>
    <definedName name="posz2" localSheetId="0">#REF!</definedName>
    <definedName name="posz2">#REF!</definedName>
    <definedName name="posz3" localSheetId="0">#REF!</definedName>
    <definedName name="posz3">#REF!</definedName>
    <definedName name="_xlnm.Print_Titles" localSheetId="1">'ODCINEK B'!$1:$2</definedName>
    <definedName name="_xlnm.Print_Titles" localSheetId="2">'ODCINEK C'!$2:$3</definedName>
    <definedName name="_xlnm.Print_Titles">#REF!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33" l="1"/>
  <c r="H122" i="133" l="1"/>
  <c r="H123" i="133"/>
  <c r="H127" i="133"/>
  <c r="H129" i="133"/>
  <c r="H131" i="133"/>
  <c r="H135" i="133"/>
  <c r="H137" i="133"/>
  <c r="H139" i="133"/>
  <c r="H143" i="133"/>
  <c r="H147" i="133"/>
  <c r="H149" i="133"/>
  <c r="H151" i="133"/>
  <c r="H153" i="133"/>
  <c r="H155" i="133"/>
  <c r="H156" i="133"/>
  <c r="H160" i="133"/>
  <c r="H162" i="133"/>
  <c r="H121" i="133"/>
  <c r="H54" i="133"/>
  <c r="H11" i="133"/>
  <c r="H12" i="133"/>
  <c r="H13" i="133"/>
  <c r="H14" i="133"/>
  <c r="H19" i="133"/>
  <c r="H21" i="133"/>
  <c r="H23" i="133"/>
  <c r="H25" i="133"/>
  <c r="H27" i="133"/>
  <c r="H29" i="133"/>
  <c r="H31" i="133"/>
  <c r="H34" i="133"/>
  <c r="H35" i="133"/>
  <c r="H40" i="133"/>
  <c r="H41" i="133"/>
  <c r="H43" i="133"/>
  <c r="H48" i="133"/>
  <c r="H49" i="133"/>
  <c r="H51" i="133"/>
  <c r="H52" i="133"/>
  <c r="H56" i="133"/>
  <c r="H58" i="133"/>
  <c r="H63" i="133"/>
  <c r="H64" i="133"/>
  <c r="H69" i="133"/>
  <c r="H70" i="133"/>
  <c r="H71" i="133"/>
  <c r="H76" i="133"/>
  <c r="H77" i="133"/>
  <c r="H82" i="133"/>
  <c r="H84" i="133"/>
  <c r="H85" i="133"/>
  <c r="H87" i="133"/>
  <c r="H88" i="133"/>
  <c r="H89" i="133"/>
  <c r="H91" i="133"/>
  <c r="H92" i="133"/>
  <c r="H94" i="133"/>
  <c r="H96" i="133"/>
  <c r="H97" i="133"/>
  <c r="H98" i="133"/>
  <c r="H99" i="133"/>
  <c r="H101" i="133"/>
  <c r="H102" i="133"/>
  <c r="H104" i="133"/>
  <c r="H106" i="133"/>
  <c r="H107" i="133"/>
  <c r="H109" i="133"/>
  <c r="H5" i="133"/>
  <c r="H2072" i="131" l="1"/>
  <c r="H2451" i="131"/>
  <c r="H2452" i="131"/>
  <c r="H2454" i="131"/>
  <c r="H2456" i="131"/>
  <c r="H2458" i="131"/>
  <c r="H2459" i="131"/>
  <c r="H2461" i="131"/>
  <c r="H2463" i="131"/>
  <c r="H2450" i="131"/>
  <c r="H2445" i="131"/>
  <c r="H2440" i="131"/>
  <c r="H2439" i="131"/>
  <c r="H2434" i="131"/>
  <c r="H2427" i="131"/>
  <c r="H2429" i="131"/>
  <c r="H2426" i="131"/>
  <c r="H2415" i="131"/>
  <c r="H2417" i="131"/>
  <c r="H2419" i="131"/>
  <c r="H2421" i="131"/>
  <c r="H2414" i="131"/>
  <c r="H2405" i="131"/>
  <c r="H2402" i="131"/>
  <c r="H2406" i="131"/>
  <c r="H2409" i="131"/>
  <c r="H2400" i="131"/>
  <c r="H2395" i="131"/>
  <c r="H2394" i="131"/>
  <c r="H2388" i="131"/>
  <c r="H2386" i="131"/>
  <c r="H2377" i="131"/>
  <c r="H2379" i="131"/>
  <c r="H2366" i="131"/>
  <c r="H2367" i="131"/>
  <c r="H2369" i="131"/>
  <c r="H2370" i="131"/>
  <c r="H2372" i="131"/>
  <c r="H2374" i="131"/>
  <c r="H2375" i="131"/>
  <c r="H2365" i="131"/>
  <c r="H2360" i="131"/>
  <c r="H2355" i="131"/>
  <c r="H2354" i="131"/>
  <c r="H2349" i="131"/>
  <c r="H2344" i="131"/>
  <c r="H2342" i="131"/>
  <c r="H2336" i="131"/>
  <c r="H2333" i="131"/>
  <c r="H2328" i="131"/>
  <c r="H2325" i="131"/>
  <c r="H2324" i="131"/>
  <c r="H2319" i="131"/>
  <c r="H2318" i="131"/>
  <c r="H2312" i="131"/>
  <c r="H2303" i="131"/>
  <c r="H2305" i="131"/>
  <c r="H2301" i="131"/>
  <c r="H2296" i="131"/>
  <c r="H2291" i="131"/>
  <c r="H2293" i="131"/>
  <c r="H2294" i="131"/>
  <c r="H2289" i="131"/>
  <c r="H2284" i="131"/>
  <c r="H2285" i="131"/>
  <c r="H2283" i="131"/>
  <c r="H2270" i="131"/>
  <c r="H2272" i="131"/>
  <c r="H2274" i="131"/>
  <c r="H2276" i="131"/>
  <c r="H2278" i="131"/>
  <c r="H2269" i="131"/>
  <c r="H2259" i="131"/>
  <c r="H2260" i="131"/>
  <c r="H2262" i="131"/>
  <c r="H2264" i="131"/>
  <c r="H2257" i="131"/>
  <c r="H2247" i="131"/>
  <c r="H2249" i="131"/>
  <c r="H2252" i="131"/>
  <c r="H2246" i="131"/>
  <c r="H2241" i="131"/>
  <c r="H2240" i="131"/>
  <c r="H2219" i="131"/>
  <c r="H2220" i="131"/>
  <c r="H2222" i="131"/>
  <c r="H2224" i="131"/>
  <c r="H2226" i="131"/>
  <c r="H2228" i="131"/>
  <c r="H2229" i="131"/>
  <c r="H2218" i="131"/>
  <c r="H2213" i="131"/>
  <c r="H2208" i="131"/>
  <c r="H2207" i="131"/>
  <c r="H2200" i="131"/>
  <c r="H2202" i="131"/>
  <c r="H2199" i="131"/>
  <c r="H2194" i="131"/>
  <c r="H2185" i="131"/>
  <c r="H2188" i="131"/>
  <c r="H2189" i="131"/>
  <c r="H2183" i="131"/>
  <c r="H2178" i="131"/>
  <c r="H2177" i="131"/>
  <c r="H2171" i="131" l="1"/>
  <c r="H2161" i="131"/>
  <c r="H2163" i="131"/>
  <c r="H2151" i="131"/>
  <c r="H2152" i="131"/>
  <c r="H2153" i="131"/>
  <c r="H2155" i="131"/>
  <c r="H2156" i="131"/>
  <c r="H2158" i="131"/>
  <c r="H2160" i="131"/>
  <c r="H2146" i="131"/>
  <c r="H2147" i="131"/>
  <c r="H2149" i="131"/>
  <c r="H2140" i="131"/>
  <c r="H2142" i="131"/>
  <c r="H2143" i="131"/>
  <c r="H2144" i="131"/>
  <c r="H2138" i="131"/>
  <c r="H2133" i="131"/>
  <c r="H2132" i="131"/>
  <c r="H2128" i="131"/>
  <c r="H2126" i="131"/>
  <c r="H2120" i="131"/>
  <c r="H2121" i="131"/>
  <c r="H2119" i="131"/>
  <c r="H2110" i="131"/>
  <c r="H2111" i="131"/>
  <c r="H2112" i="131"/>
  <c r="H2113" i="131"/>
  <c r="H2108" i="131"/>
  <c r="H2099" i="131"/>
  <c r="H2101" i="131"/>
  <c r="H2103" i="131"/>
  <c r="H2097" i="131"/>
  <c r="H2091" i="131"/>
  <c r="H2092" i="131"/>
  <c r="H2093" i="131"/>
  <c r="H2090" i="131"/>
  <c r="H2079" i="131"/>
  <c r="H2080" i="131"/>
  <c r="H2082" i="131"/>
  <c r="H2085" i="131"/>
  <c r="H2086" i="131"/>
  <c r="H2077" i="131"/>
  <c r="H2071" i="131"/>
  <c r="H2066" i="131"/>
  <c r="H2057" i="131"/>
  <c r="H2059" i="131"/>
  <c r="H2049" i="131"/>
  <c r="H2051" i="131"/>
  <c r="H2052" i="131"/>
  <c r="H2054" i="131"/>
  <c r="H2056" i="131"/>
  <c r="H2036" i="131"/>
  <c r="H2038" i="131"/>
  <c r="H2039" i="131"/>
  <c r="H2040" i="131"/>
  <c r="H2042" i="131"/>
  <c r="H2043" i="131"/>
  <c r="H2045" i="131"/>
  <c r="H2047" i="131"/>
  <c r="H2048" i="131"/>
  <c r="H2034" i="131"/>
  <c r="H2029" i="131"/>
  <c r="H2028" i="131"/>
  <c r="H2023" i="131"/>
  <c r="H2021" i="131"/>
  <c r="H2015" i="131"/>
  <c r="H2016" i="131"/>
  <c r="H2014" i="131"/>
  <c r="H2006" i="131"/>
  <c r="H2007" i="131"/>
  <c r="H2008" i="131"/>
  <c r="H2004" i="131"/>
  <c r="H1993" i="131"/>
  <c r="H1995" i="131"/>
  <c r="H1997" i="131"/>
  <c r="H1999" i="131"/>
  <c r="H1992" i="131"/>
  <c r="H1986" i="131"/>
  <c r="H1987" i="131"/>
  <c r="H1985" i="131"/>
  <c r="H1972" i="131"/>
  <c r="H1973" i="131"/>
  <c r="H1975" i="131"/>
  <c r="H1976" i="131"/>
  <c r="H1979" i="131"/>
  <c r="H1980" i="131"/>
  <c r="H1970" i="131"/>
  <c r="H1964" i="131"/>
  <c r="H1965" i="131"/>
  <c r="H1963" i="131"/>
  <c r="H1958" i="131"/>
  <c r="H1940" i="131"/>
  <c r="H1942" i="131"/>
  <c r="H1943" i="131"/>
  <c r="H1945" i="131"/>
  <c r="H1947" i="131"/>
  <c r="H1949" i="131"/>
  <c r="H1937" i="131"/>
  <c r="H1939" i="131"/>
  <c r="H1928" i="131"/>
  <c r="H1929" i="131"/>
  <c r="H1931" i="131"/>
  <c r="H1932" i="131"/>
  <c r="H1934" i="131"/>
  <c r="H1935" i="131"/>
  <c r="H1926" i="131"/>
  <c r="H1921" i="131"/>
  <c r="H1920" i="131"/>
  <c r="H1916" i="131"/>
  <c r="H1914" i="131"/>
  <c r="H1908" i="131"/>
  <c r="H1909" i="131"/>
  <c r="H1907" i="131"/>
  <c r="H1901" i="131"/>
  <c r="H1899" i="131"/>
  <c r="H1888" i="131"/>
  <c r="H1890" i="131"/>
  <c r="H1892" i="131"/>
  <c r="H1894" i="131"/>
  <c r="H1887" i="131"/>
  <c r="H1881" i="131"/>
  <c r="H1879" i="131"/>
  <c r="H1878" i="131"/>
  <c r="H1868" i="131"/>
  <c r="H1869" i="131"/>
  <c r="H1871" i="131"/>
  <c r="H1874" i="131"/>
  <c r="H1875" i="131"/>
  <c r="H1866" i="131"/>
  <c r="H1860" i="131"/>
  <c r="H1861" i="131"/>
  <c r="H1859" i="131"/>
  <c r="H1854" i="131"/>
  <c r="H1845" i="131"/>
  <c r="H1847" i="131"/>
  <c r="H1843" i="131"/>
  <c r="H1838" i="131"/>
  <c r="H1830" i="131"/>
  <c r="H1832" i="131"/>
  <c r="H1834" i="131"/>
  <c r="H1835" i="131"/>
  <c r="H1837" i="131"/>
  <c r="H1828" i="131"/>
  <c r="H1827" i="131"/>
  <c r="H1822" i="131"/>
  <c r="H1817" i="131"/>
  <c r="H1816" i="131"/>
  <c r="H1807" i="131"/>
  <c r="H1809" i="131"/>
  <c r="H1811" i="131"/>
  <c r="H1806" i="131"/>
  <c r="H1801" i="131"/>
  <c r="H1799" i="131"/>
  <c r="H1794" i="131"/>
  <c r="H1782" i="131"/>
  <c r="H1784" i="131"/>
  <c r="H1786" i="131"/>
  <c r="H1789" i="131"/>
  <c r="H1790" i="131"/>
  <c r="H1793" i="131"/>
  <c r="H1780" i="131"/>
  <c r="H1773" i="131"/>
  <c r="H1774" i="131"/>
  <c r="H1775" i="131"/>
  <c r="H1772" i="131"/>
  <c r="H1757" i="131"/>
  <c r="H1759" i="131"/>
  <c r="H1749" i="131"/>
  <c r="H1750" i="131"/>
  <c r="H1752" i="131"/>
  <c r="H1753" i="131"/>
  <c r="H1755" i="131"/>
  <c r="H1746" i="131"/>
  <c r="H1748" i="131"/>
  <c r="H1736" i="131"/>
  <c r="H1737" i="131"/>
  <c r="H1739" i="131"/>
  <c r="H1740" i="131"/>
  <c r="H1741" i="131"/>
  <c r="H1743" i="131"/>
  <c r="H1744" i="131"/>
  <c r="H1734" i="131"/>
  <c r="H1729" i="131"/>
  <c r="H1728" i="131"/>
  <c r="H1723" i="131"/>
  <c r="H1722" i="131"/>
  <c r="H1716" i="131"/>
  <c r="H1717" i="131"/>
  <c r="H1715" i="131"/>
  <c r="H1707" i="131"/>
  <c r="H1708" i="131"/>
  <c r="H1709" i="131"/>
  <c r="H1705" i="131"/>
  <c r="H1692" i="131"/>
  <c r="H1694" i="131"/>
  <c r="H1696" i="131"/>
  <c r="H1698" i="131"/>
  <c r="H1700" i="131"/>
  <c r="H1691" i="131"/>
  <c r="H1687" i="131"/>
  <c r="H1685" i="131"/>
  <c r="H1673" i="131"/>
  <c r="H1674" i="131"/>
  <c r="H1676" i="131"/>
  <c r="H1678" i="131"/>
  <c r="H1681" i="131"/>
  <c r="H1682" i="131"/>
  <c r="H1671" i="131"/>
  <c r="H1666" i="131"/>
  <c r="H1664" i="131"/>
  <c r="H1665" i="131"/>
  <c r="H1663" i="131"/>
  <c r="H1658" i="131"/>
  <c r="H1649" i="131"/>
  <c r="H1651" i="131"/>
  <c r="H1642" i="131"/>
  <c r="H1643" i="131"/>
  <c r="H1644" i="131"/>
  <c r="H1646" i="131"/>
  <c r="H1647" i="131"/>
  <c r="H1638" i="131"/>
  <c r="H1640" i="131"/>
  <c r="H1630" i="131"/>
  <c r="H1631" i="131"/>
  <c r="H1633" i="131"/>
  <c r="H1634" i="131"/>
  <c r="H1635" i="131"/>
  <c r="H1637" i="131"/>
  <c r="H1628" i="131"/>
  <c r="H1623" i="131"/>
  <c r="H1622" i="131"/>
  <c r="H1617" i="131" l="1"/>
  <c r="H1616" i="131"/>
  <c r="H1610" i="131"/>
  <c r="H1611" i="131"/>
  <c r="H1609" i="131"/>
  <c r="H1601" i="131"/>
  <c r="H1602" i="131"/>
  <c r="H1603" i="131"/>
  <c r="H1599" i="131"/>
  <c r="H1586" i="131"/>
  <c r="H1588" i="131"/>
  <c r="H1590" i="131"/>
  <c r="H1592" i="131"/>
  <c r="H1594" i="131"/>
  <c r="H1585" i="131"/>
  <c r="H1577" i="131"/>
  <c r="H1578" i="131"/>
  <c r="H1580" i="131"/>
  <c r="H1576" i="131"/>
  <c r="H1563" i="131"/>
  <c r="H1564" i="131"/>
  <c r="H1566" i="131"/>
  <c r="H1568" i="131"/>
  <c r="H1571" i="131"/>
  <c r="H1572" i="131"/>
  <c r="H1561" i="131"/>
  <c r="H1554" i="131"/>
  <c r="H1555" i="131"/>
  <c r="H1556" i="131"/>
  <c r="H1553" i="131"/>
  <c r="H1547" i="131"/>
  <c r="H1536" i="131"/>
  <c r="H1538" i="131"/>
  <c r="H1540" i="131"/>
  <c r="H1534" i="131"/>
  <c r="H1529" i="131"/>
  <c r="H1520" i="131"/>
  <c r="H1521" i="131"/>
  <c r="H1522" i="131"/>
  <c r="H1524" i="131"/>
  <c r="H1525" i="131"/>
  <c r="H1527" i="131"/>
  <c r="H1515" i="131"/>
  <c r="H1516" i="131"/>
  <c r="H1518" i="131"/>
  <c r="H1511" i="131"/>
  <c r="H1512" i="131"/>
  <c r="H1513" i="131"/>
  <c r="H1500" i="131"/>
  <c r="H1501" i="131"/>
  <c r="H1506" i="131"/>
  <c r="H1508" i="131"/>
  <c r="H1509" i="131"/>
  <c r="H1496" i="131"/>
  <c r="H1487" i="131"/>
  <c r="H1493" i="131"/>
  <c r="H1495" i="131"/>
  <c r="H1480" i="131"/>
  <c r="H1486" i="131"/>
  <c r="H1488" i="131"/>
  <c r="H1472" i="131"/>
  <c r="H1477" i="131"/>
  <c r="H1479" i="131"/>
  <c r="H1466" i="131"/>
  <c r="H1468" i="131"/>
  <c r="H1470" i="131"/>
  <c r="H1457" i="131"/>
  <c r="H1458" i="131"/>
  <c r="H1460" i="131"/>
  <c r="H1465" i="131"/>
  <c r="H1436" i="131"/>
  <c r="H1437" i="131"/>
  <c r="H1442" i="131"/>
  <c r="H1444" i="131"/>
  <c r="H1445" i="131"/>
  <c r="H1446" i="131"/>
  <c r="H1448" i="131"/>
  <c r="H1451" i="131"/>
  <c r="H1452" i="131"/>
  <c r="H1435" i="131"/>
  <c r="H1429" i="131" l="1"/>
  <c r="H1422" i="131" l="1"/>
  <c r="H1420" i="131"/>
  <c r="H1419" i="131"/>
  <c r="H1418" i="131"/>
  <c r="H1416" i="131"/>
  <c r="H1414" i="131"/>
  <c r="H1413" i="131"/>
  <c r="H1411" i="131"/>
  <c r="H1409" i="131"/>
  <c r="H1408" i="131"/>
  <c r="H1406" i="131"/>
  <c r="H1404" i="131"/>
  <c r="H1403" i="131"/>
  <c r="H1401" i="131"/>
  <c r="H1400" i="131"/>
  <c r="H1399" i="131"/>
  <c r="H1398" i="131"/>
  <c r="H1396" i="131"/>
  <c r="H1394" i="131"/>
  <c r="H1389" i="131"/>
  <c r="H1388" i="131"/>
  <c r="H1387" i="131"/>
  <c r="H1383" i="131"/>
  <c r="H1382" i="131"/>
  <c r="H1381" i="131"/>
  <c r="H1379" i="131"/>
  <c r="H1374" i="131"/>
  <c r="H1373" i="131"/>
  <c r="H1372" i="131"/>
  <c r="H1366" i="131"/>
  <c r="H1365" i="131"/>
  <c r="H1364" i="131"/>
  <c r="H1362" i="131"/>
  <c r="H1357" i="131"/>
  <c r="H1355" i="131"/>
  <c r="H1353" i="131"/>
  <c r="H1351" i="131"/>
  <c r="H1349" i="131"/>
  <c r="H1348" i="131"/>
  <c r="H1343" i="131"/>
  <c r="H1341" i="131"/>
  <c r="H1340" i="131"/>
  <c r="H1339" i="131"/>
  <c r="H1334" i="131"/>
  <c r="H1333" i="131"/>
  <c r="H1332" i="131"/>
  <c r="H1328" i="131"/>
  <c r="H1325" i="131"/>
  <c r="H1324" i="131"/>
  <c r="H1322" i="131"/>
  <c r="H1321" i="131"/>
  <c r="H1319" i="131"/>
  <c r="H1318" i="131"/>
  <c r="H1317" i="131"/>
  <c r="H1315" i="131"/>
  <c r="H1305" i="131"/>
  <c r="H1300" i="131"/>
  <c r="H1329" i="131" l="1"/>
  <c r="H1293" i="131"/>
  <c r="H1291" i="131"/>
  <c r="H1289" i="131"/>
  <c r="H1287" i="131"/>
  <c r="H1285" i="131"/>
  <c r="H1280" i="131"/>
  <c r="H1279" i="131"/>
  <c r="H1277" i="131"/>
  <c r="H1276" i="131"/>
  <c r="H1274" i="131"/>
  <c r="H1272" i="131"/>
  <c r="H1270" i="131"/>
  <c r="H1268" i="131"/>
  <c r="H1267" i="131"/>
  <c r="H1262" i="131"/>
  <c r="H1257" i="131"/>
  <c r="H1252" i="131"/>
  <c r="H1250" i="131"/>
  <c r="H1245" i="131"/>
  <c r="H1242" i="131"/>
  <c r="H1240" i="131"/>
  <c r="H1234" i="131"/>
  <c r="H1306" i="131" l="1"/>
  <c r="H1235" i="131"/>
  <c r="H1199" i="131"/>
  <c r="H1224" i="131"/>
  <c r="H1222" i="131"/>
  <c r="H1220" i="131"/>
  <c r="H1219" i="131"/>
  <c r="H1217" i="131"/>
  <c r="H1216" i="131"/>
  <c r="H1215" i="131"/>
  <c r="H1213" i="131"/>
  <c r="H1211" i="131"/>
  <c r="H1210" i="131"/>
  <c r="H1208" i="131"/>
  <c r="H1207" i="131"/>
  <c r="H1206" i="131"/>
  <c r="H1204" i="131"/>
  <c r="H1203" i="131"/>
  <c r="H1201" i="131"/>
  <c r="H1195" i="131"/>
  <c r="H1190" i="131"/>
  <c r="H1189" i="131"/>
  <c r="H1188" i="131"/>
  <c r="H1183" i="131"/>
  <c r="H1182" i="131"/>
  <c r="H1177" i="131"/>
  <c r="H1175" i="131"/>
  <c r="H1173" i="131"/>
  <c r="H1171" i="131"/>
  <c r="H1169" i="131"/>
  <c r="H1168" i="131"/>
  <c r="H1163" i="131"/>
  <c r="H1161" i="131"/>
  <c r="H1156" i="131"/>
  <c r="H1152" i="131"/>
  <c r="H1150" i="131"/>
  <c r="H1148" i="131"/>
  <c r="H1146" i="131"/>
  <c r="H1144" i="131"/>
  <c r="H1142" i="131"/>
  <c r="H1137" i="131"/>
  <c r="H1129" i="131"/>
  <c r="H1155" i="131" l="1"/>
  <c r="H1134" i="131"/>
  <c r="H1136" i="131"/>
  <c r="H1135" i="131"/>
  <c r="H1196" i="131"/>
  <c r="H1307" i="131"/>
  <c r="H1060" i="131"/>
  <c r="H1122" i="131"/>
  <c r="H1120" i="131"/>
  <c r="H1119" i="131"/>
  <c r="H1117" i="131"/>
  <c r="H1116" i="131"/>
  <c r="H1114" i="131"/>
  <c r="H1112" i="131"/>
  <c r="H1111" i="131"/>
  <c r="H1109" i="131"/>
  <c r="H1106" i="131"/>
  <c r="H1104" i="131"/>
  <c r="H1102" i="131"/>
  <c r="H1100" i="131"/>
  <c r="H1095" i="131"/>
  <c r="H1090" i="131"/>
  <c r="H1085" i="131"/>
  <c r="H1084" i="131"/>
  <c r="H1082" i="131"/>
  <c r="H1077" i="131"/>
  <c r="H1075" i="131"/>
  <c r="H1070" i="131"/>
  <c r="H1065" i="131"/>
  <c r="H1062" i="131"/>
  <c r="H1058" i="131"/>
  <c r="H1056" i="131"/>
  <c r="H1054" i="131"/>
  <c r="H1040" i="131"/>
  <c r="H1108" i="131" l="1"/>
  <c r="H1047" i="131"/>
  <c r="H1046" i="131"/>
  <c r="H1308" i="131"/>
  <c r="H1049" i="131" l="1"/>
  <c r="H1048" i="131"/>
  <c r="H1310" i="131"/>
  <c r="H1309" i="131"/>
  <c r="H1033" i="131" l="1"/>
  <c r="H1031" i="131"/>
  <c r="H1030" i="131"/>
  <c r="H1028" i="131"/>
  <c r="H1026" i="131"/>
  <c r="H1025" i="131"/>
  <c r="H1022" i="131"/>
  <c r="H1020" i="131"/>
  <c r="H1019" i="131"/>
  <c r="H1017" i="131"/>
  <c r="H1015" i="131"/>
  <c r="H1013" i="131"/>
  <c r="H1008" i="131"/>
  <c r="H1002" i="131"/>
  <c r="H997" i="131"/>
  <c r="H996" i="131"/>
  <c r="H995" i="131"/>
  <c r="H989" i="131"/>
  <c r="H988" i="131"/>
  <c r="H987" i="131"/>
  <c r="H985" i="131"/>
  <c r="H980" i="131"/>
  <c r="H978" i="131"/>
  <c r="H976" i="131"/>
  <c r="H970" i="131"/>
  <c r="H969" i="131"/>
  <c r="H966" i="131"/>
  <c r="H964" i="131"/>
  <c r="H962" i="131"/>
  <c r="H960" i="131"/>
  <c r="H1007" i="131" l="1"/>
  <c r="H954" i="131"/>
  <c r="H955" i="131"/>
  <c r="H1023" i="131"/>
  <c r="H953" i="131"/>
  <c r="H944" i="131"/>
  <c r="H942" i="131"/>
  <c r="H941" i="131"/>
  <c r="H940" i="131"/>
  <c r="H938" i="131"/>
  <c r="H936" i="131"/>
  <c r="H935" i="131"/>
  <c r="H933" i="131"/>
  <c r="H932" i="131"/>
  <c r="H930" i="131"/>
  <c r="H929" i="131"/>
  <c r="H928" i="131"/>
  <c r="H926" i="131"/>
  <c r="H924" i="131"/>
  <c r="H923" i="131"/>
  <c r="H921" i="131"/>
  <c r="H920" i="131"/>
  <c r="H919" i="131"/>
  <c r="H917" i="131"/>
  <c r="H916" i="131"/>
  <c r="H914" i="131"/>
  <c r="H909" i="131"/>
  <c r="H908" i="131"/>
  <c r="H907" i="131"/>
  <c r="H903" i="131"/>
  <c r="H902" i="131"/>
  <c r="H901" i="131"/>
  <c r="H899" i="131"/>
  <c r="H894" i="131"/>
  <c r="H893" i="131"/>
  <c r="H892" i="131"/>
  <c r="H886" i="131"/>
  <c r="H885" i="131"/>
  <c r="H884" i="131"/>
  <c r="H883" i="131"/>
  <c r="H881" i="131"/>
  <c r="H876" i="131"/>
  <c r="H874" i="131"/>
  <c r="H872" i="131"/>
  <c r="H870" i="131"/>
  <c r="H867" i="131"/>
  <c r="H863" i="131"/>
  <c r="H859" i="131"/>
  <c r="H856" i="131"/>
  <c r="H855" i="131"/>
  <c r="H854" i="131"/>
  <c r="H852" i="131"/>
  <c r="H851" i="131"/>
  <c r="H850" i="131"/>
  <c r="H848" i="131"/>
  <c r="H837" i="131"/>
  <c r="H832" i="131"/>
  <c r="H860" i="131" l="1"/>
  <c r="H868" i="131"/>
  <c r="H824" i="131"/>
  <c r="H822" i="131"/>
  <c r="H820" i="131"/>
  <c r="H819" i="131"/>
  <c r="H817" i="131"/>
  <c r="H816" i="131"/>
  <c r="H814" i="131"/>
  <c r="H812" i="131"/>
  <c r="H811" i="131"/>
  <c r="H809" i="131"/>
  <c r="H808" i="131"/>
  <c r="H807" i="131"/>
  <c r="H805" i="131"/>
  <c r="H804" i="131"/>
  <c r="H802" i="131"/>
  <c r="H797" i="131"/>
  <c r="H796" i="131"/>
  <c r="H791" i="131"/>
  <c r="H790" i="131"/>
  <c r="H789" i="131"/>
  <c r="H784" i="131"/>
  <c r="H783" i="131"/>
  <c r="H778" i="131"/>
  <c r="H776" i="131"/>
  <c r="H774" i="131"/>
  <c r="H772" i="131"/>
  <c r="H771" i="131"/>
  <c r="H769" i="131"/>
  <c r="H768" i="131"/>
  <c r="H763" i="131"/>
  <c r="H761" i="131"/>
  <c r="H756" i="131"/>
  <c r="H755" i="131"/>
  <c r="H752" i="131"/>
  <c r="H750" i="131"/>
  <c r="H748" i="131"/>
  <c r="H746" i="131"/>
  <c r="H744" i="131"/>
  <c r="H742" i="131"/>
  <c r="H737" i="131"/>
  <c r="H734" i="131"/>
  <c r="H729" i="131"/>
  <c r="H838" i="131" l="1"/>
  <c r="H720" i="131"/>
  <c r="H718" i="131"/>
  <c r="H716" i="131"/>
  <c r="H714" i="131"/>
  <c r="H712" i="131"/>
  <c r="H707" i="131"/>
  <c r="H705" i="131"/>
  <c r="H704" i="131"/>
  <c r="H702" i="131"/>
  <c r="H700" i="131"/>
  <c r="H699" i="131"/>
  <c r="H697" i="131"/>
  <c r="H696" i="131"/>
  <c r="H695" i="131"/>
  <c r="H694" i="131"/>
  <c r="H692" i="131"/>
  <c r="H690" i="131"/>
  <c r="H689" i="131"/>
  <c r="H687" i="131"/>
  <c r="H686" i="131"/>
  <c r="H685" i="131"/>
  <c r="H683" i="131"/>
  <c r="H682" i="131"/>
  <c r="H680" i="131"/>
  <c r="H675" i="131"/>
  <c r="H674" i="131"/>
  <c r="H669" i="131"/>
  <c r="H668" i="131"/>
  <c r="H666" i="131"/>
  <c r="H661" i="131"/>
  <c r="H660" i="131"/>
  <c r="H659" i="131"/>
  <c r="H653" i="131"/>
  <c r="H652" i="131"/>
  <c r="H647" i="131"/>
  <c r="H645" i="131"/>
  <c r="H643" i="131"/>
  <c r="H641" i="131"/>
  <c r="H640" i="131"/>
  <c r="H638" i="131"/>
  <c r="H637" i="131"/>
  <c r="H632" i="131"/>
  <c r="H630" i="131"/>
  <c r="H625" i="131"/>
  <c r="H624" i="131"/>
  <c r="H621" i="131"/>
  <c r="H619" i="131"/>
  <c r="H617" i="131"/>
  <c r="H615" i="131"/>
  <c r="H614" i="131"/>
  <c r="H613" i="131"/>
  <c r="H611" i="131"/>
  <c r="H606" i="131"/>
  <c r="H596" i="131"/>
  <c r="H594" i="131"/>
  <c r="H839" i="131" l="1"/>
  <c r="H603" i="131"/>
  <c r="H602" i="131"/>
  <c r="H736" i="131"/>
  <c r="H735" i="131"/>
  <c r="H584" i="131"/>
  <c r="H582" i="131"/>
  <c r="H580" i="131"/>
  <c r="H578" i="131"/>
  <c r="H577" i="131"/>
  <c r="H575" i="131"/>
  <c r="H574" i="131"/>
  <c r="H573" i="131"/>
  <c r="H571" i="131"/>
  <c r="H569" i="131"/>
  <c r="H568" i="131"/>
  <c r="H566" i="131"/>
  <c r="H565" i="131"/>
  <c r="H564" i="131"/>
  <c r="H561" i="131"/>
  <c r="H559" i="131"/>
  <c r="H554" i="131"/>
  <c r="H553" i="131"/>
  <c r="H548" i="131"/>
  <c r="H547" i="131"/>
  <c r="H546" i="131"/>
  <c r="H541" i="131"/>
  <c r="H540" i="131"/>
  <c r="H535" i="131"/>
  <c r="H533" i="131"/>
  <c r="H531" i="131"/>
  <c r="H529" i="131"/>
  <c r="H528" i="131"/>
  <c r="H526" i="131"/>
  <c r="H525" i="131"/>
  <c r="H520" i="131"/>
  <c r="H518" i="131"/>
  <c r="H516" i="131"/>
  <c r="H514" i="131"/>
  <c r="H513" i="131"/>
  <c r="H512" i="131"/>
  <c r="H511" i="131"/>
  <c r="H506" i="131"/>
  <c r="H505" i="131"/>
  <c r="H502" i="131"/>
  <c r="H500" i="131"/>
  <c r="H498" i="131"/>
  <c r="H496" i="131"/>
  <c r="H494" i="131"/>
  <c r="H492" i="131"/>
  <c r="H487" i="131"/>
  <c r="H479" i="131"/>
  <c r="H484" i="131" l="1"/>
  <c r="H840" i="131"/>
  <c r="H486" i="131"/>
  <c r="H485" i="131"/>
  <c r="H605" i="131"/>
  <c r="H604" i="131"/>
  <c r="H472" i="131"/>
  <c r="H470" i="131"/>
  <c r="H468" i="131"/>
  <c r="H466" i="131"/>
  <c r="H464" i="131"/>
  <c r="H459" i="131"/>
  <c r="H457" i="131"/>
  <c r="H456" i="131"/>
  <c r="H454" i="131"/>
  <c r="H452" i="131"/>
  <c r="H451" i="131"/>
  <c r="H449" i="131"/>
  <c r="H448" i="131"/>
  <c r="H447" i="131"/>
  <c r="H445" i="131"/>
  <c r="H443" i="131"/>
  <c r="H442" i="131"/>
  <c r="H440" i="131"/>
  <c r="H439" i="131"/>
  <c r="H438" i="131"/>
  <c r="H435" i="131"/>
  <c r="H433" i="131"/>
  <c r="H428" i="131"/>
  <c r="H427" i="131"/>
  <c r="H422" i="131"/>
  <c r="H421" i="131"/>
  <c r="H419" i="131"/>
  <c r="H414" i="131"/>
  <c r="H413" i="131"/>
  <c r="H412" i="131"/>
  <c r="H406" i="131"/>
  <c r="H405" i="131"/>
  <c r="H400" i="131"/>
  <c r="H398" i="131"/>
  <c r="H396" i="131"/>
  <c r="H394" i="131"/>
  <c r="H393" i="131"/>
  <c r="H391" i="131"/>
  <c r="H390" i="131"/>
  <c r="H841" i="131" l="1"/>
  <c r="H385" i="131"/>
  <c r="H383" i="131"/>
  <c r="H377" i="131"/>
  <c r="H374" i="131"/>
  <c r="H372" i="131"/>
  <c r="H370" i="131"/>
  <c r="H368" i="131"/>
  <c r="H367" i="131"/>
  <c r="H366" i="131"/>
  <c r="H364" i="131"/>
  <c r="H359" i="131"/>
  <c r="H355" i="131"/>
  <c r="H349" i="131"/>
  <c r="H347" i="131"/>
  <c r="H842" i="131" l="1"/>
  <c r="H843" i="131"/>
  <c r="H378" i="131"/>
  <c r="H321" i="131"/>
  <c r="H323" i="131"/>
  <c r="H338" i="131"/>
  <c r="H336" i="131"/>
  <c r="H335" i="131"/>
  <c r="H333" i="131"/>
  <c r="H332" i="131"/>
  <c r="H330" i="131"/>
  <c r="H328" i="131"/>
  <c r="H327" i="131"/>
  <c r="H325" i="131"/>
  <c r="H324" i="131"/>
  <c r="H319" i="131"/>
  <c r="H318" i="131"/>
  <c r="H316" i="131"/>
  <c r="H315" i="131"/>
  <c r="H314" i="131"/>
  <c r="H312" i="131"/>
  <c r="H311" i="131"/>
  <c r="H309" i="131"/>
  <c r="H304" i="131"/>
  <c r="H303" i="131"/>
  <c r="H298" i="131"/>
  <c r="H297" i="131"/>
  <c r="H296" i="131"/>
  <c r="H291" i="131"/>
  <c r="H290" i="131"/>
  <c r="H285" i="131"/>
  <c r="H283" i="131"/>
  <c r="H281" i="131"/>
  <c r="H279" i="131"/>
  <c r="H278" i="131"/>
  <c r="H276" i="131"/>
  <c r="H275" i="131"/>
  <c r="H270" i="131"/>
  <c r="H219" i="131"/>
  <c r="H200" i="131"/>
  <c r="H146" i="131"/>
  <c r="H139" i="131"/>
  <c r="H135" i="131"/>
  <c r="H130" i="131"/>
  <c r="H123" i="131"/>
  <c r="H235" i="131"/>
  <c r="H240" i="131"/>
  <c r="H242" i="131"/>
  <c r="H244" i="131"/>
  <c r="H246" i="131"/>
  <c r="H248" i="131"/>
  <c r="H259" i="131"/>
  <c r="H260" i="131"/>
  <c r="H261" i="131"/>
  <c r="H262" i="131"/>
  <c r="H263" i="131"/>
  <c r="H264" i="131"/>
  <c r="H138" i="131" l="1"/>
  <c r="H234" i="131"/>
  <c r="H233" i="131"/>
  <c r="H232" i="131"/>
  <c r="H356" i="131"/>
  <c r="H206" i="131"/>
  <c r="H208" i="131"/>
  <c r="H212" i="131"/>
  <c r="H215" i="131"/>
  <c r="H217" i="131"/>
  <c r="H221" i="131"/>
  <c r="H196" i="131"/>
  <c r="H199" i="131"/>
  <c r="H182" i="131"/>
  <c r="H165" i="131"/>
  <c r="H152" i="131"/>
  <c r="H154" i="131"/>
  <c r="H156" i="131"/>
  <c r="H158" i="131"/>
  <c r="H145" i="131"/>
  <c r="H160" i="131"/>
  <c r="H163" i="131"/>
  <c r="H169" i="131"/>
  <c r="H171" i="131"/>
  <c r="H180" i="131"/>
  <c r="H188" i="131"/>
  <c r="H191" i="131"/>
  <c r="H241" i="131"/>
  <c r="H245" i="131"/>
  <c r="H247" i="131"/>
  <c r="H249" i="131"/>
  <c r="H111" i="131"/>
  <c r="H95" i="131"/>
  <c r="H97" i="131"/>
  <c r="H99" i="131"/>
  <c r="H100" i="131"/>
  <c r="H101" i="131"/>
  <c r="H103" i="131"/>
  <c r="H104" i="131"/>
  <c r="H106" i="131"/>
  <c r="H108" i="131"/>
  <c r="H109" i="131"/>
  <c r="H94" i="131"/>
  <c r="H79" i="131"/>
  <c r="H80" i="131"/>
  <c r="H85" i="131"/>
  <c r="H87" i="131"/>
  <c r="H88" i="131"/>
  <c r="H90" i="131"/>
  <c r="H91" i="131"/>
  <c r="H92" i="131"/>
  <c r="H38" i="131"/>
  <c r="H39" i="131"/>
  <c r="H40" i="131"/>
  <c r="H42" i="131"/>
  <c r="H44" i="131"/>
  <c r="H46" i="131"/>
  <c r="H51" i="131"/>
  <c r="H52" i="131"/>
  <c r="H54" i="131"/>
  <c r="H55" i="131"/>
  <c r="H57" i="131"/>
  <c r="H59" i="131"/>
  <c r="H61" i="131"/>
  <c r="H66" i="131"/>
  <c r="H67" i="131"/>
  <c r="H72" i="131"/>
  <c r="H73" i="131"/>
  <c r="H74" i="131"/>
  <c r="H37" i="131"/>
  <c r="H32" i="131"/>
  <c r="H254" i="131" s="1"/>
  <c r="H250" i="131"/>
  <c r="H31" i="131"/>
  <c r="H253" i="131" s="1"/>
  <c r="H118" i="131" l="1"/>
  <c r="H227" i="131" s="1"/>
  <c r="H358" i="131"/>
  <c r="H357" i="131"/>
  <c r="H124" i="131"/>
  <c r="H125" i="131"/>
  <c r="I162" i="133" l="1"/>
  <c r="I160" i="133"/>
  <c r="I156" i="133"/>
  <c r="I155" i="133"/>
  <c r="I143" i="133"/>
  <c r="I139" i="133"/>
  <c r="I122" i="133"/>
  <c r="I121" i="133"/>
  <c r="G153" i="133"/>
  <c r="I153" i="133" s="1"/>
  <c r="G151" i="133"/>
  <c r="I151" i="133" s="1"/>
  <c r="G149" i="133"/>
  <c r="I149" i="133" s="1"/>
  <c r="G147" i="133"/>
  <c r="I147" i="133" s="1"/>
  <c r="G137" i="133"/>
  <c r="I137" i="133" s="1"/>
  <c r="G135" i="133"/>
  <c r="I135" i="133" s="1"/>
  <c r="G131" i="133"/>
  <c r="I131" i="133" s="1"/>
  <c r="G129" i="133"/>
  <c r="I129" i="133" s="1"/>
  <c r="G127" i="133"/>
  <c r="I127" i="133" s="1"/>
  <c r="G123" i="133"/>
  <c r="I123" i="133" s="1"/>
  <c r="I163" i="133" l="1"/>
  <c r="I109" i="133" l="1"/>
  <c r="I107" i="133"/>
  <c r="I106" i="133"/>
  <c r="I104" i="133"/>
  <c r="I102" i="133"/>
  <c r="I101" i="133"/>
  <c r="I99" i="133"/>
  <c r="I98" i="133"/>
  <c r="I97" i="133"/>
  <c r="I96" i="133"/>
  <c r="I94" i="133"/>
  <c r="I92" i="133"/>
  <c r="I91" i="133"/>
  <c r="I89" i="133"/>
  <c r="I88" i="133"/>
  <c r="I87" i="133"/>
  <c r="I85" i="133"/>
  <c r="I84" i="133"/>
  <c r="I82" i="133"/>
  <c r="I77" i="133"/>
  <c r="I76" i="133"/>
  <c r="I71" i="133"/>
  <c r="I70" i="133"/>
  <c r="I69" i="133"/>
  <c r="I64" i="133"/>
  <c r="I63" i="133"/>
  <c r="I58" i="133"/>
  <c r="I56" i="133"/>
  <c r="I54" i="133"/>
  <c r="I52" i="133"/>
  <c r="I51" i="133"/>
  <c r="I49" i="133"/>
  <c r="I48" i="133"/>
  <c r="I43" i="133"/>
  <c r="I41" i="133"/>
  <c r="I40" i="133"/>
  <c r="I35" i="133"/>
  <c r="I34" i="133"/>
  <c r="I31" i="133"/>
  <c r="I29" i="133"/>
  <c r="I27" i="133"/>
  <c r="I25" i="133"/>
  <c r="I23" i="133"/>
  <c r="I21" i="133"/>
  <c r="I19" i="133"/>
  <c r="I14" i="133"/>
  <c r="I13" i="133"/>
  <c r="I12" i="133"/>
  <c r="I11" i="133"/>
  <c r="I10" i="133"/>
  <c r="I5" i="133"/>
  <c r="I111" i="133" l="1"/>
  <c r="I166" i="133" s="1"/>
  <c r="I2463" i="131"/>
  <c r="I2461" i="131"/>
  <c r="I2459" i="131"/>
  <c r="I2458" i="131"/>
  <c r="I2456" i="131"/>
  <c r="I2454" i="131"/>
  <c r="I2452" i="131"/>
  <c r="I2451" i="131"/>
  <c r="I2450" i="131"/>
  <c r="I2445" i="131"/>
  <c r="I2440" i="131"/>
  <c r="I2439" i="131"/>
  <c r="I2434" i="131"/>
  <c r="I2429" i="131"/>
  <c r="I2427" i="131"/>
  <c r="I2426" i="131"/>
  <c r="I2421" i="131"/>
  <c r="I2419" i="131"/>
  <c r="I2417" i="131"/>
  <c r="I2415" i="131"/>
  <c r="I2414" i="131"/>
  <c r="I2409" i="131"/>
  <c r="I2406" i="131"/>
  <c r="I2405" i="131"/>
  <c r="I2402" i="131"/>
  <c r="I2400" i="131"/>
  <c r="I2395" i="131"/>
  <c r="I2394" i="131"/>
  <c r="I2388" i="131"/>
  <c r="I2386" i="131"/>
  <c r="I2465" i="131" l="1"/>
  <c r="I2379" i="131" l="1"/>
  <c r="I2377" i="131"/>
  <c r="I2375" i="131"/>
  <c r="I2374" i="131"/>
  <c r="I2372" i="131"/>
  <c r="I2370" i="131"/>
  <c r="I2369" i="131"/>
  <c r="I2367" i="131"/>
  <c r="I2366" i="131"/>
  <c r="I2365" i="131"/>
  <c r="I2360" i="131"/>
  <c r="I2355" i="131"/>
  <c r="I2354" i="131"/>
  <c r="I2349" i="131"/>
  <c r="I2344" i="131"/>
  <c r="I2342" i="131"/>
  <c r="G2336" i="131"/>
  <c r="I2336" i="131" s="1"/>
  <c r="I2333" i="131"/>
  <c r="I2328" i="131"/>
  <c r="I2325" i="131"/>
  <c r="I2324" i="131"/>
  <c r="I2319" i="131"/>
  <c r="I2318" i="131"/>
  <c r="G2312" i="131"/>
  <c r="I2312" i="131" s="1"/>
  <c r="I2381" i="131" l="1"/>
  <c r="I2305" i="131" l="1"/>
  <c r="I2303" i="131"/>
  <c r="I2301" i="131"/>
  <c r="I2296" i="131"/>
  <c r="I2294" i="131"/>
  <c r="I2293" i="131"/>
  <c r="I2291" i="131"/>
  <c r="I2289" i="131"/>
  <c r="I2285" i="131"/>
  <c r="I2284" i="131"/>
  <c r="I2283" i="131"/>
  <c r="I2278" i="131"/>
  <c r="I2276" i="131"/>
  <c r="I2274" i="131"/>
  <c r="I2272" i="131"/>
  <c r="I2270" i="131"/>
  <c r="I2269" i="131"/>
  <c r="I2264" i="131"/>
  <c r="I2262" i="131"/>
  <c r="I2260" i="131"/>
  <c r="I2259" i="131"/>
  <c r="I2257" i="131"/>
  <c r="I2252" i="131"/>
  <c r="I2249" i="131"/>
  <c r="I2247" i="131"/>
  <c r="I2246" i="131"/>
  <c r="I2241" i="131"/>
  <c r="I2240" i="131"/>
  <c r="I2307" i="131" l="1"/>
  <c r="I2229" i="131"/>
  <c r="I2228" i="131"/>
  <c r="I2226" i="131"/>
  <c r="I2224" i="131"/>
  <c r="I2222" i="131"/>
  <c r="I2220" i="131"/>
  <c r="I2219" i="131"/>
  <c r="I2218" i="131"/>
  <c r="I2213" i="131"/>
  <c r="I2208" i="131"/>
  <c r="I2207" i="131"/>
  <c r="I2202" i="131"/>
  <c r="I2200" i="131"/>
  <c r="I2199" i="131"/>
  <c r="I2194" i="131"/>
  <c r="I2189" i="131"/>
  <c r="I2188" i="131"/>
  <c r="I2185" i="131"/>
  <c r="I2183" i="131"/>
  <c r="I2178" i="131"/>
  <c r="I2177" i="131"/>
  <c r="I2171" i="131"/>
  <c r="I2231" i="131" l="1"/>
  <c r="I2163" i="131"/>
  <c r="I2161" i="131"/>
  <c r="I2160" i="131"/>
  <c r="I2158" i="131"/>
  <c r="I2156" i="131"/>
  <c r="I2155" i="131"/>
  <c r="I2153" i="131"/>
  <c r="I2152" i="131"/>
  <c r="I2151" i="131"/>
  <c r="I2149" i="131"/>
  <c r="I2147" i="131"/>
  <c r="I2146" i="131"/>
  <c r="I2144" i="131"/>
  <c r="I2143" i="131"/>
  <c r="I2142" i="131"/>
  <c r="I2140" i="131"/>
  <c r="I2138" i="131"/>
  <c r="I2133" i="131"/>
  <c r="I2132" i="131"/>
  <c r="I2128" i="131"/>
  <c r="I2126" i="131"/>
  <c r="I2121" i="131"/>
  <c r="I2120" i="131"/>
  <c r="I2119" i="131"/>
  <c r="I2113" i="131"/>
  <c r="I2112" i="131"/>
  <c r="I2111" i="131"/>
  <c r="I2110" i="131"/>
  <c r="I2108" i="131"/>
  <c r="I2103" i="131"/>
  <c r="I2101" i="131"/>
  <c r="I2099" i="131"/>
  <c r="I2097" i="131"/>
  <c r="I2093" i="131"/>
  <c r="I2092" i="131"/>
  <c r="I2091" i="131"/>
  <c r="I2090" i="131"/>
  <c r="I2086" i="131"/>
  <c r="I2085" i="131"/>
  <c r="I2082" i="131"/>
  <c r="I2080" i="131"/>
  <c r="I2079" i="131"/>
  <c r="I2077" i="131"/>
  <c r="I2072" i="131"/>
  <c r="I2071" i="131"/>
  <c r="I2066" i="131"/>
  <c r="I2059" i="131"/>
  <c r="I2057" i="131"/>
  <c r="I2056" i="131"/>
  <c r="I2054" i="131"/>
  <c r="I2052" i="131"/>
  <c r="I2051" i="131"/>
  <c r="I2049" i="131"/>
  <c r="I2048" i="131"/>
  <c r="I2047" i="131"/>
  <c r="I2045" i="131"/>
  <c r="I2043" i="131"/>
  <c r="I2042" i="131"/>
  <c r="I2040" i="131"/>
  <c r="I2039" i="131"/>
  <c r="I2038" i="131"/>
  <c r="I2036" i="131"/>
  <c r="I2034" i="131"/>
  <c r="I2029" i="131"/>
  <c r="I2028" i="131"/>
  <c r="I2023" i="131"/>
  <c r="I2021" i="131"/>
  <c r="I2016" i="131"/>
  <c r="I2015" i="131"/>
  <c r="I2014" i="131"/>
  <c r="I2008" i="131"/>
  <c r="I2007" i="131"/>
  <c r="I2006" i="131"/>
  <c r="I2004" i="131"/>
  <c r="I1999" i="131"/>
  <c r="I1997" i="131"/>
  <c r="I1995" i="131"/>
  <c r="I1993" i="131"/>
  <c r="I1992" i="131"/>
  <c r="I1987" i="131"/>
  <c r="I1986" i="131"/>
  <c r="I1985" i="131"/>
  <c r="I1980" i="131"/>
  <c r="I1979" i="131"/>
  <c r="I1976" i="131"/>
  <c r="I1975" i="131"/>
  <c r="I1973" i="131"/>
  <c r="I1972" i="131"/>
  <c r="I1970" i="131"/>
  <c r="I1965" i="131"/>
  <c r="I1964" i="131"/>
  <c r="I1963" i="131"/>
  <c r="I1958" i="131"/>
  <c r="I2165" i="131" l="1"/>
  <c r="I2061" i="131"/>
  <c r="I1949" i="131"/>
  <c r="I1947" i="131"/>
  <c r="I1945" i="131"/>
  <c r="I1943" i="131"/>
  <c r="I1942" i="131"/>
  <c r="I1940" i="131"/>
  <c r="I1939" i="131"/>
  <c r="I1937" i="131"/>
  <c r="I1935" i="131"/>
  <c r="I1934" i="131"/>
  <c r="I1932" i="131"/>
  <c r="I1931" i="131"/>
  <c r="I1929" i="131"/>
  <c r="I1928" i="131"/>
  <c r="I1926" i="131"/>
  <c r="I1921" i="131"/>
  <c r="I1920" i="131"/>
  <c r="I1916" i="131"/>
  <c r="I1914" i="131"/>
  <c r="I1909" i="131"/>
  <c r="I1908" i="131"/>
  <c r="I1907" i="131"/>
  <c r="I1901" i="131"/>
  <c r="I1899" i="131"/>
  <c r="I1894" i="131"/>
  <c r="I1892" i="131"/>
  <c r="I1890" i="131"/>
  <c r="I1888" i="131"/>
  <c r="I1887" i="131"/>
  <c r="I1881" i="131"/>
  <c r="I1879" i="131"/>
  <c r="I1878" i="131"/>
  <c r="I1875" i="131"/>
  <c r="I1874" i="131"/>
  <c r="I1871" i="131"/>
  <c r="I1869" i="131"/>
  <c r="I1868" i="131"/>
  <c r="I1866" i="131"/>
  <c r="I1861" i="131"/>
  <c r="I1860" i="131"/>
  <c r="I1859" i="131"/>
  <c r="I1854" i="131"/>
  <c r="I1951" i="131" l="1"/>
  <c r="I1847" i="131"/>
  <c r="I1845" i="131"/>
  <c r="I1843" i="131"/>
  <c r="I1838" i="131"/>
  <c r="I1837" i="131"/>
  <c r="I1835" i="131"/>
  <c r="I1834" i="131"/>
  <c r="I1832" i="131"/>
  <c r="I1830" i="131"/>
  <c r="I1828" i="131"/>
  <c r="I1827" i="131"/>
  <c r="I1822" i="131"/>
  <c r="I1817" i="131"/>
  <c r="I1816" i="131"/>
  <c r="I1811" i="131"/>
  <c r="I1809" i="131"/>
  <c r="I1807" i="131"/>
  <c r="I1806" i="131"/>
  <c r="I1801" i="131"/>
  <c r="I1799" i="131"/>
  <c r="I1794" i="131"/>
  <c r="I1793" i="131"/>
  <c r="I1790" i="131"/>
  <c r="I1789" i="131"/>
  <c r="I1786" i="131"/>
  <c r="I1784" i="131"/>
  <c r="I1782" i="131"/>
  <c r="I1780" i="131"/>
  <c r="I1775" i="131"/>
  <c r="I1774" i="131"/>
  <c r="I1773" i="131"/>
  <c r="I1772" i="131"/>
  <c r="I1849" i="131" l="1"/>
  <c r="I1759" i="131"/>
  <c r="I1757" i="131"/>
  <c r="I1755" i="131"/>
  <c r="I1753" i="131"/>
  <c r="I1752" i="131"/>
  <c r="I1750" i="131"/>
  <c r="I1749" i="131"/>
  <c r="I1748" i="131"/>
  <c r="I1746" i="131"/>
  <c r="I1744" i="131"/>
  <c r="I1743" i="131"/>
  <c r="I1741" i="131"/>
  <c r="I1740" i="131"/>
  <c r="I1739" i="131"/>
  <c r="I1737" i="131"/>
  <c r="I1736" i="131"/>
  <c r="I1734" i="131"/>
  <c r="I1729" i="131"/>
  <c r="I1728" i="131"/>
  <c r="I1723" i="131"/>
  <c r="I1722" i="131"/>
  <c r="I1717" i="131"/>
  <c r="I1716" i="131"/>
  <c r="I1715" i="131"/>
  <c r="I1709" i="131"/>
  <c r="I1708" i="131"/>
  <c r="I1707" i="131"/>
  <c r="I1705" i="131"/>
  <c r="I1700" i="131"/>
  <c r="I1698" i="131"/>
  <c r="I1696" i="131"/>
  <c r="I1694" i="131"/>
  <c r="I1692" i="131"/>
  <c r="I1691" i="131"/>
  <c r="I1687" i="131"/>
  <c r="I1685" i="131"/>
  <c r="I1682" i="131"/>
  <c r="I1681" i="131"/>
  <c r="I1678" i="131"/>
  <c r="I1676" i="131"/>
  <c r="I1674" i="131"/>
  <c r="I1673" i="131"/>
  <c r="I1671" i="131"/>
  <c r="I1666" i="131"/>
  <c r="I1665" i="131"/>
  <c r="I1664" i="131"/>
  <c r="I1663" i="131"/>
  <c r="I1658" i="131"/>
  <c r="I1651" i="131"/>
  <c r="I1649" i="131"/>
  <c r="I1647" i="131"/>
  <c r="I1646" i="131"/>
  <c r="I1644" i="131"/>
  <c r="I1643" i="131"/>
  <c r="I1642" i="131"/>
  <c r="I1640" i="131"/>
  <c r="I1638" i="131"/>
  <c r="I1637" i="131"/>
  <c r="I1635" i="131"/>
  <c r="I1634" i="131"/>
  <c r="I1633" i="131"/>
  <c r="I1631" i="131"/>
  <c r="I1630" i="131"/>
  <c r="I1628" i="131"/>
  <c r="I1623" i="131"/>
  <c r="I1622" i="131"/>
  <c r="I1617" i="131"/>
  <c r="I1616" i="131"/>
  <c r="I1611" i="131"/>
  <c r="I1610" i="131"/>
  <c r="I1609" i="131"/>
  <c r="I1603" i="131"/>
  <c r="I1602" i="131"/>
  <c r="I1601" i="131"/>
  <c r="I1599" i="131"/>
  <c r="I1594" i="131"/>
  <c r="I1592" i="131"/>
  <c r="I1590" i="131"/>
  <c r="I1588" i="131"/>
  <c r="I1586" i="131"/>
  <c r="I1585" i="131"/>
  <c r="I1580" i="131"/>
  <c r="I1578" i="131"/>
  <c r="I1577" i="131"/>
  <c r="I1576" i="131"/>
  <c r="I1572" i="131"/>
  <c r="I1571" i="131"/>
  <c r="I1568" i="131"/>
  <c r="I1566" i="131"/>
  <c r="I1564" i="131"/>
  <c r="I1563" i="131"/>
  <c r="I1561" i="131"/>
  <c r="I1556" i="131"/>
  <c r="I1555" i="131"/>
  <c r="I1554" i="131"/>
  <c r="I1553" i="131"/>
  <c r="I1547" i="131"/>
  <c r="I1653" i="131" l="1"/>
  <c r="I1761" i="131"/>
  <c r="I1540" i="131"/>
  <c r="I1538" i="131"/>
  <c r="I1536" i="131"/>
  <c r="I1534" i="131"/>
  <c r="I1529" i="131"/>
  <c r="I1527" i="131"/>
  <c r="I1525" i="131"/>
  <c r="I1524" i="131"/>
  <c r="I1522" i="131"/>
  <c r="I1521" i="131"/>
  <c r="I1520" i="131"/>
  <c r="I1518" i="131"/>
  <c r="I1516" i="131"/>
  <c r="I1515" i="131"/>
  <c r="I1513" i="131"/>
  <c r="I1512" i="131"/>
  <c r="I1511" i="131"/>
  <c r="I1509" i="131"/>
  <c r="I1508" i="131"/>
  <c r="I1506" i="131"/>
  <c r="I1501" i="131"/>
  <c r="I1500" i="131"/>
  <c r="I1496" i="131"/>
  <c r="I1495" i="131"/>
  <c r="I1493" i="131"/>
  <c r="I1488" i="131"/>
  <c r="I1487" i="131"/>
  <c r="I1486" i="131"/>
  <c r="I1480" i="131"/>
  <c r="I1479" i="131"/>
  <c r="I1477" i="131"/>
  <c r="I1472" i="131"/>
  <c r="I1470" i="131"/>
  <c r="I1468" i="131"/>
  <c r="I1466" i="131"/>
  <c r="I1465" i="131"/>
  <c r="I1460" i="131"/>
  <c r="I1458" i="131"/>
  <c r="I1457" i="131"/>
  <c r="I1452" i="131"/>
  <c r="I1451" i="131"/>
  <c r="I1448" i="131"/>
  <c r="I1446" i="131"/>
  <c r="I1445" i="131"/>
  <c r="I1444" i="131"/>
  <c r="I1442" i="131"/>
  <c r="I1437" i="131"/>
  <c r="I1436" i="131"/>
  <c r="I1435" i="131"/>
  <c r="I1429" i="131"/>
  <c r="I1542" i="131" l="1"/>
  <c r="I1422" i="131"/>
  <c r="I1420" i="131"/>
  <c r="I1419" i="131"/>
  <c r="I1418" i="131"/>
  <c r="I1416" i="131"/>
  <c r="I1414" i="131"/>
  <c r="I1413" i="131"/>
  <c r="I1411" i="131"/>
  <c r="I1409" i="131"/>
  <c r="I1408" i="131"/>
  <c r="I1406" i="131"/>
  <c r="I1404" i="131"/>
  <c r="I1403" i="131"/>
  <c r="I1401" i="131"/>
  <c r="I1400" i="131"/>
  <c r="I1399" i="131"/>
  <c r="I1398" i="131"/>
  <c r="I1396" i="131"/>
  <c r="I1394" i="131"/>
  <c r="I1389" i="131"/>
  <c r="I1388" i="131"/>
  <c r="I1387" i="131"/>
  <c r="I1383" i="131"/>
  <c r="I1382" i="131"/>
  <c r="I1381" i="131"/>
  <c r="I1379" i="131"/>
  <c r="I1374" i="131"/>
  <c r="I1373" i="131"/>
  <c r="I1372" i="131"/>
  <c r="I1366" i="131"/>
  <c r="I1365" i="131"/>
  <c r="I1364" i="131"/>
  <c r="I1362" i="131"/>
  <c r="I1357" i="131"/>
  <c r="I1355" i="131"/>
  <c r="I1353" i="131"/>
  <c r="I1351" i="131"/>
  <c r="I1349" i="131"/>
  <c r="I1348" i="131"/>
  <c r="I1343" i="131"/>
  <c r="I1341" i="131"/>
  <c r="I1340" i="131"/>
  <c r="I1339" i="131"/>
  <c r="I1334" i="131"/>
  <c r="I1333" i="131"/>
  <c r="I1332" i="131"/>
  <c r="I1329" i="131"/>
  <c r="I1328" i="131"/>
  <c r="I1325" i="131"/>
  <c r="I1324" i="131"/>
  <c r="I1322" i="131"/>
  <c r="I1321" i="131"/>
  <c r="I1319" i="131"/>
  <c r="I1318" i="131"/>
  <c r="I1317" i="131"/>
  <c r="I1315" i="131"/>
  <c r="I1310" i="131"/>
  <c r="I1309" i="131"/>
  <c r="I1308" i="131"/>
  <c r="I1307" i="131"/>
  <c r="I1306" i="131"/>
  <c r="I1305" i="131"/>
  <c r="I1300" i="131"/>
  <c r="I1424" i="131" l="1"/>
  <c r="I1293" i="131"/>
  <c r="I1291" i="131"/>
  <c r="I1289" i="131"/>
  <c r="I1287" i="131"/>
  <c r="I1285" i="131"/>
  <c r="I1280" i="131"/>
  <c r="I1279" i="131"/>
  <c r="I1277" i="131"/>
  <c r="I1276" i="131"/>
  <c r="I1274" i="131"/>
  <c r="I1272" i="131"/>
  <c r="I1270" i="131"/>
  <c r="I1268" i="131"/>
  <c r="I1267" i="131"/>
  <c r="I1262" i="131"/>
  <c r="I1257" i="131"/>
  <c r="I1252" i="131"/>
  <c r="I1250" i="131"/>
  <c r="I1245" i="131"/>
  <c r="I1242" i="131"/>
  <c r="I1240" i="131"/>
  <c r="I1235" i="131"/>
  <c r="I1234" i="131"/>
  <c r="I1295" i="131" l="1"/>
  <c r="G1224" i="131"/>
  <c r="I1224" i="131" s="1"/>
  <c r="G1222" i="131"/>
  <c r="I1222" i="131" s="1"/>
  <c r="I1220" i="131"/>
  <c r="I1219" i="131"/>
  <c r="G1217" i="131"/>
  <c r="I1217" i="131" s="1"/>
  <c r="G1216" i="131"/>
  <c r="I1216" i="131" s="1"/>
  <c r="G1215" i="131"/>
  <c r="I1215" i="131" s="1"/>
  <c r="G1213" i="131"/>
  <c r="I1213" i="131" s="1"/>
  <c r="G1211" i="131"/>
  <c r="I1211" i="131" s="1"/>
  <c r="G1210" i="131"/>
  <c r="I1210" i="131" s="1"/>
  <c r="G1208" i="131"/>
  <c r="I1208" i="131" s="1"/>
  <c r="G1207" i="131"/>
  <c r="I1207" i="131" s="1"/>
  <c r="G1206" i="131"/>
  <c r="I1206" i="131" s="1"/>
  <c r="I1204" i="131"/>
  <c r="G1203" i="131"/>
  <c r="I1203" i="131" s="1"/>
  <c r="G1201" i="131"/>
  <c r="I1201" i="131" s="1"/>
  <c r="G1196" i="131"/>
  <c r="I1196" i="131" s="1"/>
  <c r="I1195" i="131"/>
  <c r="G1190" i="131"/>
  <c r="I1190" i="131" s="1"/>
  <c r="G1189" i="131"/>
  <c r="I1189" i="131" s="1"/>
  <c r="G1188" i="131"/>
  <c r="I1188" i="131" s="1"/>
  <c r="I1183" i="131"/>
  <c r="G1182" i="131"/>
  <c r="I1182" i="131" s="1"/>
  <c r="G1177" i="131"/>
  <c r="I1177" i="131" s="1"/>
  <c r="G1175" i="131"/>
  <c r="I1175" i="131" s="1"/>
  <c r="G1173" i="131"/>
  <c r="I1173" i="131" s="1"/>
  <c r="I1171" i="131"/>
  <c r="I1169" i="131"/>
  <c r="I1168" i="131"/>
  <c r="G1163" i="131"/>
  <c r="I1163" i="131" s="1"/>
  <c r="G1161" i="131"/>
  <c r="I1161" i="131" s="1"/>
  <c r="G1156" i="131"/>
  <c r="I1156" i="131" s="1"/>
  <c r="G1155" i="131"/>
  <c r="I1155" i="131" s="1"/>
  <c r="G1152" i="131"/>
  <c r="I1152" i="131" s="1"/>
  <c r="I1150" i="131"/>
  <c r="I1148" i="131"/>
  <c r="I1146" i="131"/>
  <c r="G1144" i="131"/>
  <c r="I1144" i="131" s="1"/>
  <c r="G1142" i="131"/>
  <c r="I1142" i="131" s="1"/>
  <c r="I1137" i="131"/>
  <c r="G1136" i="131"/>
  <c r="I1136" i="131" s="1"/>
  <c r="G1135" i="131"/>
  <c r="I1135" i="131" s="1"/>
  <c r="G1134" i="131"/>
  <c r="I1134" i="131" s="1"/>
  <c r="G1129" i="131"/>
  <c r="I1129" i="131" s="1"/>
  <c r="I1226" i="131" l="1"/>
  <c r="I1122" i="131" l="1"/>
  <c r="I1120" i="131"/>
  <c r="I1119" i="131"/>
  <c r="I1117" i="131"/>
  <c r="I1116" i="131"/>
  <c r="I1114" i="131"/>
  <c r="I1112" i="131"/>
  <c r="I1111" i="131"/>
  <c r="I1109" i="131"/>
  <c r="I1108" i="131"/>
  <c r="I1106" i="131"/>
  <c r="I1104" i="131"/>
  <c r="I1102" i="131"/>
  <c r="I1100" i="131"/>
  <c r="I1095" i="131"/>
  <c r="I1090" i="131"/>
  <c r="I1085" i="131"/>
  <c r="I1084" i="131"/>
  <c r="I1082" i="131"/>
  <c r="I1077" i="131"/>
  <c r="I1075" i="131"/>
  <c r="I1070" i="131"/>
  <c r="I1065" i="131"/>
  <c r="I1062" i="131"/>
  <c r="I1060" i="131"/>
  <c r="I1058" i="131"/>
  <c r="I1056" i="131"/>
  <c r="I1054" i="131"/>
  <c r="I1049" i="131"/>
  <c r="I1048" i="131"/>
  <c r="I1047" i="131"/>
  <c r="I1046" i="131"/>
  <c r="I1040" i="131"/>
  <c r="I1124" i="131" l="1"/>
  <c r="I1033" i="131"/>
  <c r="I1031" i="131"/>
  <c r="I1030" i="131"/>
  <c r="I1028" i="131"/>
  <c r="I1026" i="131"/>
  <c r="I1025" i="131"/>
  <c r="I1023" i="131"/>
  <c r="I1022" i="131"/>
  <c r="I1020" i="131"/>
  <c r="I1019" i="131"/>
  <c r="I1017" i="131"/>
  <c r="I1015" i="131"/>
  <c r="I1013" i="131"/>
  <c r="I1008" i="131"/>
  <c r="I1007" i="131"/>
  <c r="I1002" i="131"/>
  <c r="I997" i="131"/>
  <c r="I996" i="131"/>
  <c r="I995" i="131"/>
  <c r="I989" i="131"/>
  <c r="I988" i="131"/>
  <c r="I987" i="131"/>
  <c r="I985" i="131"/>
  <c r="I980" i="131"/>
  <c r="I978" i="131"/>
  <c r="I976" i="131"/>
  <c r="I970" i="131"/>
  <c r="I969" i="131"/>
  <c r="I966" i="131"/>
  <c r="I964" i="131"/>
  <c r="I962" i="131"/>
  <c r="I960" i="131"/>
  <c r="I955" i="131"/>
  <c r="I954" i="131"/>
  <c r="I953" i="131"/>
  <c r="I1035" i="131" l="1"/>
  <c r="G944" i="131" l="1"/>
  <c r="I944" i="131" s="1"/>
  <c r="I942" i="131"/>
  <c r="I941" i="131"/>
  <c r="I940" i="131"/>
  <c r="G938" i="131"/>
  <c r="I938" i="131" s="1"/>
  <c r="I936" i="131"/>
  <c r="I935" i="131"/>
  <c r="I933" i="131"/>
  <c r="I932" i="131"/>
  <c r="I930" i="131"/>
  <c r="I929" i="131"/>
  <c r="I928" i="131"/>
  <c r="I926" i="131"/>
  <c r="I924" i="131"/>
  <c r="I923" i="131"/>
  <c r="I921" i="131"/>
  <c r="I920" i="131"/>
  <c r="I919" i="131"/>
  <c r="I917" i="131"/>
  <c r="I916" i="131"/>
  <c r="I914" i="131"/>
  <c r="I909" i="131"/>
  <c r="I908" i="131"/>
  <c r="G907" i="131"/>
  <c r="I907" i="131" s="1"/>
  <c r="I903" i="131"/>
  <c r="I902" i="131"/>
  <c r="I901" i="131"/>
  <c r="G899" i="131"/>
  <c r="I899" i="131" s="1"/>
  <c r="I894" i="131"/>
  <c r="I893" i="131"/>
  <c r="I892" i="131"/>
  <c r="I886" i="131"/>
  <c r="I885" i="131"/>
  <c r="I884" i="131"/>
  <c r="I883" i="131"/>
  <c r="I881" i="131"/>
  <c r="I876" i="131"/>
  <c r="G874" i="131"/>
  <c r="I874" i="131" s="1"/>
  <c r="I872" i="131"/>
  <c r="I870" i="131"/>
  <c r="I868" i="131"/>
  <c r="I867" i="131"/>
  <c r="I863" i="131"/>
  <c r="I860" i="131"/>
  <c r="I859" i="131"/>
  <c r="I856" i="131"/>
  <c r="I855" i="131"/>
  <c r="I854" i="131"/>
  <c r="I852" i="131"/>
  <c r="I851" i="131"/>
  <c r="I850" i="131"/>
  <c r="I848" i="131"/>
  <c r="I843" i="131"/>
  <c r="I842" i="131"/>
  <c r="I841" i="131"/>
  <c r="I840" i="131"/>
  <c r="I839" i="131"/>
  <c r="I838" i="131"/>
  <c r="I837" i="131"/>
  <c r="I832" i="131"/>
  <c r="I945" i="131" l="1"/>
  <c r="G824" i="131"/>
  <c r="I824" i="131" s="1"/>
  <c r="G822" i="131"/>
  <c r="I822" i="131" s="1"/>
  <c r="I820" i="131"/>
  <c r="I819" i="131"/>
  <c r="I817" i="131"/>
  <c r="G816" i="131"/>
  <c r="I816" i="131" s="1"/>
  <c r="G814" i="131"/>
  <c r="I814" i="131" s="1"/>
  <c r="G812" i="131"/>
  <c r="I812" i="131" s="1"/>
  <c r="G811" i="131"/>
  <c r="I811" i="131" s="1"/>
  <c r="G809" i="131"/>
  <c r="I809" i="131" s="1"/>
  <c r="G808" i="131"/>
  <c r="I808" i="131" s="1"/>
  <c r="G807" i="131"/>
  <c r="I807" i="131" s="1"/>
  <c r="I805" i="131"/>
  <c r="G804" i="131"/>
  <c r="I804" i="131" s="1"/>
  <c r="G802" i="131"/>
  <c r="I802" i="131" s="1"/>
  <c r="G797" i="131"/>
  <c r="I797" i="131" s="1"/>
  <c r="I796" i="131"/>
  <c r="G791" i="131"/>
  <c r="I791" i="131" s="1"/>
  <c r="I790" i="131"/>
  <c r="I789" i="131"/>
  <c r="I784" i="131"/>
  <c r="G783" i="131"/>
  <c r="I783" i="131" s="1"/>
  <c r="G778" i="131"/>
  <c r="I778" i="131" s="1"/>
  <c r="G776" i="131"/>
  <c r="I776" i="131" s="1"/>
  <c r="G774" i="131"/>
  <c r="I774" i="131" s="1"/>
  <c r="I772" i="131"/>
  <c r="G771" i="131"/>
  <c r="I771" i="131" s="1"/>
  <c r="I769" i="131"/>
  <c r="I768" i="131"/>
  <c r="G763" i="131"/>
  <c r="I763" i="131" s="1"/>
  <c r="I761" i="131"/>
  <c r="G756" i="131"/>
  <c r="I756" i="131" s="1"/>
  <c r="G755" i="131"/>
  <c r="I755" i="131" s="1"/>
  <c r="G752" i="131"/>
  <c r="I752" i="131" s="1"/>
  <c r="I750" i="131"/>
  <c r="I748" i="131"/>
  <c r="I746" i="131"/>
  <c r="G744" i="131"/>
  <c r="I744" i="131" s="1"/>
  <c r="G742" i="131"/>
  <c r="I742" i="131" s="1"/>
  <c r="I737" i="131"/>
  <c r="I736" i="131"/>
  <c r="G735" i="131"/>
  <c r="I735" i="131" s="1"/>
  <c r="G734" i="131"/>
  <c r="I734" i="131" s="1"/>
  <c r="G729" i="131"/>
  <c r="I729" i="131" s="1"/>
  <c r="I826" i="131" l="1"/>
  <c r="I720" i="131" l="1"/>
  <c r="I718" i="131"/>
  <c r="I716" i="131"/>
  <c r="I714" i="131"/>
  <c r="I712" i="131"/>
  <c r="I707" i="131"/>
  <c r="G705" i="131"/>
  <c r="I705" i="131" s="1"/>
  <c r="G704" i="131"/>
  <c r="I704" i="131" s="1"/>
  <c r="G702" i="131"/>
  <c r="I702" i="131" s="1"/>
  <c r="I700" i="131"/>
  <c r="I699" i="131"/>
  <c r="G697" i="131"/>
  <c r="I697" i="131" s="1"/>
  <c r="G696" i="131"/>
  <c r="I696" i="131" s="1"/>
  <c r="G695" i="131"/>
  <c r="I695" i="131" s="1"/>
  <c r="G694" i="131"/>
  <c r="I694" i="131" s="1"/>
  <c r="G692" i="131"/>
  <c r="I692" i="131" s="1"/>
  <c r="G690" i="131"/>
  <c r="I690" i="131" s="1"/>
  <c r="G689" i="131"/>
  <c r="I689" i="131" s="1"/>
  <c r="G687" i="131"/>
  <c r="I687" i="131" s="1"/>
  <c r="G686" i="131"/>
  <c r="I686" i="131" s="1"/>
  <c r="G685" i="131"/>
  <c r="I685" i="131" s="1"/>
  <c r="I683" i="131"/>
  <c r="G682" i="131"/>
  <c r="I682" i="131" s="1"/>
  <c r="G680" i="131"/>
  <c r="I680" i="131" s="1"/>
  <c r="I675" i="131"/>
  <c r="I674" i="131"/>
  <c r="G669" i="131"/>
  <c r="I669" i="131" s="1"/>
  <c r="I668" i="131"/>
  <c r="G666" i="131"/>
  <c r="I666" i="131" s="1"/>
  <c r="I661" i="131"/>
  <c r="I660" i="131"/>
  <c r="I659" i="131"/>
  <c r="G653" i="131"/>
  <c r="I653" i="131" s="1"/>
  <c r="G652" i="131"/>
  <c r="I652" i="131" s="1"/>
  <c r="G647" i="131"/>
  <c r="I647" i="131" s="1"/>
  <c r="G645" i="131"/>
  <c r="I645" i="131" s="1"/>
  <c r="G643" i="131"/>
  <c r="I643" i="131" s="1"/>
  <c r="I641" i="131"/>
  <c r="G640" i="131"/>
  <c r="I640" i="131" s="1"/>
  <c r="I638" i="131"/>
  <c r="I637" i="131"/>
  <c r="G632" i="131"/>
  <c r="I632" i="131" s="1"/>
  <c r="I630" i="131"/>
  <c r="G625" i="131"/>
  <c r="I625" i="131" s="1"/>
  <c r="G624" i="131"/>
  <c r="I624" i="131" s="1"/>
  <c r="G621" i="131"/>
  <c r="I621" i="131" s="1"/>
  <c r="G619" i="131"/>
  <c r="I619" i="131" s="1"/>
  <c r="I617" i="131"/>
  <c r="G615" i="131"/>
  <c r="I615" i="131" s="1"/>
  <c r="I614" i="131"/>
  <c r="I613" i="131"/>
  <c r="G611" i="131"/>
  <c r="I611" i="131" s="1"/>
  <c r="G606" i="131"/>
  <c r="I606" i="131" s="1"/>
  <c r="G605" i="131"/>
  <c r="I605" i="131" s="1"/>
  <c r="G604" i="131"/>
  <c r="I604" i="131" s="1"/>
  <c r="G603" i="131"/>
  <c r="I603" i="131" s="1"/>
  <c r="G602" i="131"/>
  <c r="I602" i="131" s="1"/>
  <c r="I596" i="131"/>
  <c r="G594" i="131"/>
  <c r="I594" i="131" s="1"/>
  <c r="I722" i="131" l="1"/>
  <c r="G584" i="131" l="1"/>
  <c r="I584" i="131" s="1"/>
  <c r="G582" i="131"/>
  <c r="I582" i="131" s="1"/>
  <c r="G580" i="131"/>
  <c r="I580" i="131" s="1"/>
  <c r="I578" i="131"/>
  <c r="I577" i="131"/>
  <c r="I575" i="131"/>
  <c r="G574" i="131"/>
  <c r="I574" i="131" s="1"/>
  <c r="G573" i="131"/>
  <c r="I573" i="131" s="1"/>
  <c r="G571" i="131"/>
  <c r="I571" i="131" s="1"/>
  <c r="G569" i="131"/>
  <c r="I569" i="131" s="1"/>
  <c r="G568" i="131"/>
  <c r="I568" i="131" s="1"/>
  <c r="G566" i="131"/>
  <c r="I566" i="131" s="1"/>
  <c r="G565" i="131"/>
  <c r="I565" i="131" s="1"/>
  <c r="G564" i="131"/>
  <c r="I564" i="131" s="1"/>
  <c r="G562" i="131"/>
  <c r="I562" i="131" s="1"/>
  <c r="G561" i="131"/>
  <c r="I561" i="131" s="1"/>
  <c r="G559" i="131"/>
  <c r="I559" i="131" s="1"/>
  <c r="I554" i="131"/>
  <c r="I553" i="131"/>
  <c r="G548" i="131"/>
  <c r="I548" i="131" s="1"/>
  <c r="G547" i="131"/>
  <c r="I547" i="131" s="1"/>
  <c r="G546" i="131"/>
  <c r="I546" i="131" s="1"/>
  <c r="G541" i="131"/>
  <c r="I541" i="131" s="1"/>
  <c r="G540" i="131"/>
  <c r="I540" i="131" s="1"/>
  <c r="G535" i="131"/>
  <c r="I535" i="131" s="1"/>
  <c r="G533" i="131"/>
  <c r="I533" i="131" s="1"/>
  <c r="G531" i="131"/>
  <c r="I531" i="131" s="1"/>
  <c r="I529" i="131"/>
  <c r="G528" i="131"/>
  <c r="I528" i="131" s="1"/>
  <c r="I526" i="131"/>
  <c r="I525" i="131"/>
  <c r="I520" i="131"/>
  <c r="I518" i="131"/>
  <c r="I516" i="131"/>
  <c r="I514" i="131"/>
  <c r="I513" i="131"/>
  <c r="I512" i="131"/>
  <c r="I511" i="131"/>
  <c r="G506" i="131"/>
  <c r="I506" i="131" s="1"/>
  <c r="G505" i="131"/>
  <c r="I505" i="131" s="1"/>
  <c r="G502" i="131"/>
  <c r="I502" i="131" s="1"/>
  <c r="I500" i="131"/>
  <c r="I498" i="131"/>
  <c r="I496" i="131"/>
  <c r="G494" i="131"/>
  <c r="I494" i="131" s="1"/>
  <c r="G492" i="131"/>
  <c r="I492" i="131" s="1"/>
  <c r="I487" i="131"/>
  <c r="G486" i="131"/>
  <c r="I486" i="131" s="1"/>
  <c r="G485" i="131"/>
  <c r="I485" i="131" s="1"/>
  <c r="G484" i="131"/>
  <c r="I484" i="131" s="1"/>
  <c r="G479" i="131"/>
  <c r="I479" i="131" s="1"/>
  <c r="I586" i="131" l="1"/>
  <c r="I472" i="131" l="1"/>
  <c r="I470" i="131"/>
  <c r="I468" i="131"/>
  <c r="I466" i="131"/>
  <c r="I464" i="131"/>
  <c r="I459" i="131"/>
  <c r="G457" i="131"/>
  <c r="I457" i="131" s="1"/>
  <c r="G456" i="131"/>
  <c r="I456" i="131" s="1"/>
  <c r="G454" i="131"/>
  <c r="I454" i="131" s="1"/>
  <c r="I452" i="131"/>
  <c r="I451" i="131"/>
  <c r="G449" i="131"/>
  <c r="I449" i="131" s="1"/>
  <c r="G448" i="131"/>
  <c r="I448" i="131" s="1"/>
  <c r="G447" i="131"/>
  <c r="I447" i="131" s="1"/>
  <c r="G445" i="131"/>
  <c r="I445" i="131" s="1"/>
  <c r="G443" i="131"/>
  <c r="I443" i="131" s="1"/>
  <c r="G442" i="131"/>
  <c r="I442" i="131" s="1"/>
  <c r="G440" i="131"/>
  <c r="I440" i="131" s="1"/>
  <c r="G439" i="131"/>
  <c r="I439" i="131" s="1"/>
  <c r="G438" i="131"/>
  <c r="I438" i="131" s="1"/>
  <c r="I436" i="131"/>
  <c r="G435" i="131"/>
  <c r="I435" i="131" s="1"/>
  <c r="G433" i="131"/>
  <c r="I433" i="131" s="1"/>
  <c r="I428" i="131"/>
  <c r="I427" i="131"/>
  <c r="G422" i="131"/>
  <c r="I422" i="131" s="1"/>
  <c r="I421" i="131"/>
  <c r="G419" i="131"/>
  <c r="I419" i="131" s="1"/>
  <c r="I414" i="131"/>
  <c r="I413" i="131"/>
  <c r="I412" i="131"/>
  <c r="G406" i="131"/>
  <c r="I406" i="131" s="1"/>
  <c r="G405" i="131"/>
  <c r="I405" i="131" s="1"/>
  <c r="G400" i="131"/>
  <c r="I400" i="131" s="1"/>
  <c r="G398" i="131"/>
  <c r="I398" i="131" s="1"/>
  <c r="G396" i="131"/>
  <c r="I396" i="131" s="1"/>
  <c r="I394" i="131"/>
  <c r="G393" i="131"/>
  <c r="I393" i="131" s="1"/>
  <c r="I391" i="131"/>
  <c r="I390" i="131"/>
  <c r="G385" i="131"/>
  <c r="I385" i="131" s="1"/>
  <c r="I383" i="131"/>
  <c r="G378" i="131"/>
  <c r="I378" i="131" s="1"/>
  <c r="G377" i="131"/>
  <c r="I377" i="131" s="1"/>
  <c r="G374" i="131"/>
  <c r="I374" i="131" s="1"/>
  <c r="G372" i="131"/>
  <c r="I372" i="131" s="1"/>
  <c r="I370" i="131"/>
  <c r="I368" i="131"/>
  <c r="I367" i="131"/>
  <c r="I366" i="131"/>
  <c r="G364" i="131"/>
  <c r="I364" i="131" s="1"/>
  <c r="I359" i="131"/>
  <c r="I358" i="131"/>
  <c r="G357" i="131"/>
  <c r="I357" i="131" s="1"/>
  <c r="G356" i="131"/>
  <c r="I356" i="131" s="1"/>
  <c r="I355" i="131"/>
  <c r="I349" i="131"/>
  <c r="G347" i="131"/>
  <c r="I347" i="131" s="1"/>
  <c r="I474" i="131" l="1"/>
  <c r="I338" i="131" l="1"/>
  <c r="G336" i="131"/>
  <c r="I336" i="131" s="1"/>
  <c r="G335" i="131"/>
  <c r="I335" i="131" s="1"/>
  <c r="I333" i="131"/>
  <c r="G332" i="131"/>
  <c r="I332" i="131" s="1"/>
  <c r="G330" i="131"/>
  <c r="I330" i="131" s="1"/>
  <c r="I328" i="131"/>
  <c r="I327" i="131"/>
  <c r="G325" i="131"/>
  <c r="I325" i="131" s="1"/>
  <c r="G324" i="131"/>
  <c r="I324" i="131" s="1"/>
  <c r="G323" i="131"/>
  <c r="I323" i="131" s="1"/>
  <c r="G321" i="131"/>
  <c r="I321" i="131" s="1"/>
  <c r="G319" i="131"/>
  <c r="I319" i="131" s="1"/>
  <c r="G318" i="131"/>
  <c r="I318" i="131" s="1"/>
  <c r="G316" i="131"/>
  <c r="I316" i="131" s="1"/>
  <c r="G315" i="131"/>
  <c r="I315" i="131" s="1"/>
  <c r="G314" i="131"/>
  <c r="I314" i="131" s="1"/>
  <c r="I312" i="131"/>
  <c r="G311" i="131"/>
  <c r="I311" i="131" s="1"/>
  <c r="G309" i="131"/>
  <c r="I309" i="131" s="1"/>
  <c r="G304" i="131"/>
  <c r="I304" i="131" s="1"/>
  <c r="I303" i="131"/>
  <c r="G298" i="131"/>
  <c r="I298" i="131" s="1"/>
  <c r="G297" i="131"/>
  <c r="I297" i="131" s="1"/>
  <c r="G296" i="131"/>
  <c r="I296" i="131" s="1"/>
  <c r="G291" i="131"/>
  <c r="I291" i="131" s="1"/>
  <c r="G290" i="131"/>
  <c r="I290" i="131" s="1"/>
  <c r="G285" i="131"/>
  <c r="I285" i="131" s="1"/>
  <c r="G283" i="131"/>
  <c r="I283" i="131" s="1"/>
  <c r="G281" i="131"/>
  <c r="I281" i="131" s="1"/>
  <c r="I279" i="131"/>
  <c r="G278" i="131"/>
  <c r="I278" i="131" s="1"/>
  <c r="I276" i="131"/>
  <c r="I275" i="131"/>
  <c r="I270" i="131"/>
  <c r="I268" i="131"/>
  <c r="I266" i="131"/>
  <c r="I264" i="131"/>
  <c r="I263" i="131"/>
  <c r="I262" i="131"/>
  <c r="I261" i="131"/>
  <c r="I260" i="131"/>
  <c r="I259" i="131"/>
  <c r="G254" i="131"/>
  <c r="I254" i="131" s="1"/>
  <c r="G253" i="131"/>
  <c r="I253" i="131" s="1"/>
  <c r="G250" i="131"/>
  <c r="I250" i="131" s="1"/>
  <c r="I248" i="131"/>
  <c r="I246" i="131"/>
  <c r="I244" i="131"/>
  <c r="G242" i="131"/>
  <c r="I242" i="131" s="1"/>
  <c r="G240" i="131"/>
  <c r="I240" i="131" s="1"/>
  <c r="G235" i="131"/>
  <c r="I235" i="131" s="1"/>
  <c r="I234" i="131"/>
  <c r="G233" i="131"/>
  <c r="I233" i="131" s="1"/>
  <c r="G232" i="131"/>
  <c r="I232" i="131" s="1"/>
  <c r="G227" i="131"/>
  <c r="I227" i="131" s="1"/>
  <c r="I340" i="131" l="1"/>
  <c r="I222" i="131" l="1"/>
  <c r="I220" i="131"/>
  <c r="I219" i="131"/>
  <c r="I218" i="131"/>
  <c r="I216" i="131"/>
  <c r="I214" i="131"/>
  <c r="I213" i="131"/>
  <c r="I211" i="131"/>
  <c r="I210" i="131"/>
  <c r="I209" i="131"/>
  <c r="I207" i="131"/>
  <c r="I205" i="131"/>
  <c r="I204" i="131"/>
  <c r="I202" i="131"/>
  <c r="I201" i="131"/>
  <c r="I200" i="131"/>
  <c r="I198" i="131"/>
  <c r="I197" i="131"/>
  <c r="I195" i="131"/>
  <c r="I190" i="131"/>
  <c r="I189" i="131"/>
  <c r="I184" i="131"/>
  <c r="I183" i="131"/>
  <c r="I181" i="131"/>
  <c r="I176" i="131"/>
  <c r="I175" i="131"/>
  <c r="I174" i="131"/>
  <c r="I168" i="131"/>
  <c r="I167" i="131"/>
  <c r="I166" i="131"/>
  <c r="I164" i="131"/>
  <c r="I159" i="131"/>
  <c r="I157" i="131"/>
  <c r="I155" i="131"/>
  <c r="I153" i="131"/>
  <c r="I151" i="131"/>
  <c r="I150" i="131"/>
  <c r="I146" i="131"/>
  <c r="I144" i="131"/>
  <c r="G143" i="131"/>
  <c r="I143" i="131" s="1"/>
  <c r="I142" i="131"/>
  <c r="I141" i="131"/>
  <c r="I139" i="131"/>
  <c r="G138" i="131"/>
  <c r="I138" i="131" s="1"/>
  <c r="I135" i="131"/>
  <c r="I133" i="131"/>
  <c r="I132" i="131"/>
  <c r="I130" i="131"/>
  <c r="I125" i="131"/>
  <c r="I124" i="131"/>
  <c r="I123" i="131"/>
  <c r="I118" i="131"/>
  <c r="I224" i="131" l="1"/>
  <c r="I104" i="131" l="1"/>
  <c r="I80" i="131"/>
  <c r="I67" i="131"/>
  <c r="I46" i="131" l="1"/>
  <c r="I40" i="131"/>
  <c r="I55" i="131"/>
  <c r="I39" i="131"/>
  <c r="I38" i="131"/>
  <c r="I37" i="131"/>
  <c r="I103" i="131"/>
  <c r="I88" i="131"/>
  <c r="I111" i="131"/>
  <c r="I79" i="131"/>
  <c r="I72" i="131"/>
  <c r="I51" i="131"/>
  <c r="I42" i="131"/>
  <c r="I44" i="131"/>
  <c r="I31" i="131"/>
  <c r="I24" i="131"/>
  <c r="I18" i="131"/>
  <c r="I13" i="131"/>
  <c r="I52" i="131" l="1"/>
  <c r="I28" i="131"/>
  <c r="I22" i="131"/>
  <c r="I26" i="131"/>
  <c r="I12" i="131"/>
  <c r="G109" i="131" l="1"/>
  <c r="I109" i="131" s="1"/>
  <c r="G108" i="131"/>
  <c r="I108" i="131" s="1"/>
  <c r="G106" i="131"/>
  <c r="I106" i="131" s="1"/>
  <c r="G101" i="131"/>
  <c r="I101" i="131" s="1"/>
  <c r="G100" i="131"/>
  <c r="I100" i="131" s="1"/>
  <c r="G99" i="131"/>
  <c r="I99" i="131" s="1"/>
  <c r="G97" i="131"/>
  <c r="I97" i="131" s="1"/>
  <c r="G95" i="131"/>
  <c r="I95" i="131" s="1"/>
  <c r="G94" i="131"/>
  <c r="I94" i="131" s="1"/>
  <c r="G92" i="131"/>
  <c r="I92" i="131" s="1"/>
  <c r="G91" i="131"/>
  <c r="I91" i="131" s="1"/>
  <c r="G90" i="131"/>
  <c r="I90" i="131" s="1"/>
  <c r="G87" i="131"/>
  <c r="I87" i="131" s="1"/>
  <c r="G85" i="131"/>
  <c r="I85" i="131" s="1"/>
  <c r="G74" i="131"/>
  <c r="I74" i="131" s="1"/>
  <c r="G73" i="131"/>
  <c r="I73" i="131" s="1"/>
  <c r="G66" i="131"/>
  <c r="I66" i="131" s="1"/>
  <c r="G61" i="131"/>
  <c r="I61" i="131" s="1"/>
  <c r="G59" i="131"/>
  <c r="I59" i="131" s="1"/>
  <c r="G57" i="131"/>
  <c r="I57" i="131" s="1"/>
  <c r="G54" i="131"/>
  <c r="I54" i="131" s="1"/>
  <c r="G32" i="131"/>
  <c r="I32" i="131" s="1"/>
  <c r="G20" i="131"/>
  <c r="I20" i="131" s="1"/>
  <c r="G11" i="131"/>
  <c r="I11" i="131" s="1"/>
  <c r="G10" i="131"/>
  <c r="I10" i="131" s="1"/>
  <c r="G5" i="131"/>
  <c r="I5" i="131" s="1"/>
  <c r="I113" i="131" l="1"/>
  <c r="I2470" i="131" l="1"/>
  <c r="J27" i="130" s="1"/>
</calcChain>
</file>

<file path=xl/sharedStrings.xml><?xml version="1.0" encoding="utf-8"?>
<sst xmlns="http://schemas.openxmlformats.org/spreadsheetml/2006/main" count="10387" uniqueCount="811">
  <si>
    <t>Lp.</t>
  </si>
  <si>
    <t>Ilość</t>
  </si>
  <si>
    <t>kpl.</t>
  </si>
  <si>
    <t>szt.</t>
  </si>
  <si>
    <t>m</t>
  </si>
  <si>
    <t>1.4</t>
  </si>
  <si>
    <t>1.6</t>
  </si>
  <si>
    <t>1.7</t>
  </si>
  <si>
    <t>1.8</t>
  </si>
  <si>
    <t>1.9</t>
  </si>
  <si>
    <t>1.10</t>
  </si>
  <si>
    <t>1.12</t>
  </si>
  <si>
    <t>1.13</t>
  </si>
  <si>
    <t>x</t>
  </si>
  <si>
    <t>ROBOTY PRZYGOTOWAWCZE</t>
  </si>
  <si>
    <r>
      <t>m</t>
    </r>
    <r>
      <rPr>
        <vertAlign val="superscript"/>
        <sz val="9"/>
        <rFont val="Arial"/>
        <family val="2"/>
        <charset val="238"/>
      </rPr>
      <t>2</t>
    </r>
  </si>
  <si>
    <r>
      <t>m</t>
    </r>
    <r>
      <rPr>
        <vertAlign val="superscript"/>
        <sz val="9"/>
        <rFont val="Arial"/>
        <family val="2"/>
        <charset val="238"/>
      </rPr>
      <t>2</t>
    </r>
    <r>
      <rPr>
        <b/>
        <sz val="10"/>
        <rFont val="Arial CE"/>
        <family val="2"/>
        <charset val="238"/>
      </rPr>
      <t/>
    </r>
  </si>
  <si>
    <r>
      <t>m</t>
    </r>
    <r>
      <rPr>
        <vertAlign val="superscript"/>
        <sz val="9"/>
        <rFont val="Arial"/>
        <family val="2"/>
        <charset val="238"/>
      </rPr>
      <t>3</t>
    </r>
  </si>
  <si>
    <t>1.5.3</t>
  </si>
  <si>
    <t>1.5.3.1</t>
  </si>
  <si>
    <t>ZBROJENIE</t>
  </si>
  <si>
    <t>1.6.1</t>
  </si>
  <si>
    <t>1.6.1.2</t>
  </si>
  <si>
    <t>kg</t>
  </si>
  <si>
    <t>1.6.1.6</t>
  </si>
  <si>
    <t>1.6.1.11</t>
  </si>
  <si>
    <t>Razem zbrojenie:</t>
  </si>
  <si>
    <t>BETON</t>
  </si>
  <si>
    <t>1.7.1</t>
  </si>
  <si>
    <t>Beton fundamentów w deskowaniu</t>
  </si>
  <si>
    <t>1.7.2</t>
  </si>
  <si>
    <t>Beton podpór w elementach o grubości &lt; 60 cm</t>
  </si>
  <si>
    <t>1.7.2.2</t>
  </si>
  <si>
    <t>1.7.3</t>
  </si>
  <si>
    <t xml:space="preserve">Beton ustroju niosącego w elementach o grubości &lt; 60 cm </t>
  </si>
  <si>
    <t>1.7.3.1</t>
  </si>
  <si>
    <t>1.7.4</t>
  </si>
  <si>
    <t>1.7.7</t>
  </si>
  <si>
    <t>1.7.7.1</t>
  </si>
  <si>
    <t>Razem beton konstrukcyjny:</t>
  </si>
  <si>
    <t>1.7.9</t>
  </si>
  <si>
    <t>1.7.9.1</t>
  </si>
  <si>
    <t>1.7.9.5</t>
  </si>
  <si>
    <t>Razem beton niekonstrukcyjny:</t>
  </si>
  <si>
    <t>KONSTRUKCJE STALOWE</t>
  </si>
  <si>
    <t>1.8.2</t>
  </si>
  <si>
    <t>Razem kostrukcje stalowe:</t>
  </si>
  <si>
    <t>IZOLACJE</t>
  </si>
  <si>
    <t>1.9.1</t>
  </si>
  <si>
    <t>Izolacja powłokowa asfaltowa układana "na zimno"</t>
  </si>
  <si>
    <t>1.9.1.1</t>
  </si>
  <si>
    <t>1.9.2</t>
  </si>
  <si>
    <t>1.9.2.3</t>
  </si>
  <si>
    <t>1.9.3</t>
  </si>
  <si>
    <t>Izolacjonawierzchnia na konstrukcji obiektu mostowego</t>
  </si>
  <si>
    <t>1.9.3.1</t>
  </si>
  <si>
    <t>1.9.5</t>
  </si>
  <si>
    <t>1.9.5.1</t>
  </si>
  <si>
    <t>Razem izolacje:</t>
  </si>
  <si>
    <t>URZĄDZENIA DYLATACYJNE</t>
  </si>
  <si>
    <t>Dylatacja - wypełnienie przerw</t>
  </si>
  <si>
    <t>Razem urządzenia dylatacyjne:</t>
  </si>
  <si>
    <t>ELEMENTY ZABEZPIECZAJĄCE</t>
  </si>
  <si>
    <t>Razem elementy zabezpieczające:</t>
  </si>
  <si>
    <t>INNE ROBOTY MOSTOWE</t>
  </si>
  <si>
    <t>1.13.1</t>
  </si>
  <si>
    <t>Warstwa filtracyjna za przyczółkami</t>
  </si>
  <si>
    <t>1.13.1.1</t>
  </si>
  <si>
    <t>Drenaż pionowych ścian konstrukcji</t>
  </si>
  <si>
    <t>Umocnienie stożków przyczółków</t>
  </si>
  <si>
    <t>- ustawienie obrzeży betonowych 8×30 cm na podsypce cementowo-piaskowej</t>
  </si>
  <si>
    <t>Zabezpieczenie antykorozyjne powierzchni betonowych</t>
  </si>
  <si>
    <t>Schody robocze na skarpie</t>
  </si>
  <si>
    <t>Geodezyjne pomiary odkształceń i przemieszczeń obiektu mostowego</t>
  </si>
  <si>
    <t>- montaż (ustawienie) reperów stałych na gruncie</t>
  </si>
  <si>
    <t>Zabezpieczenie antygraffiti powierzchni betonowych</t>
  </si>
  <si>
    <r>
      <t>m</t>
    </r>
    <r>
      <rPr>
        <vertAlign val="superscript"/>
        <sz val="10"/>
        <rFont val="Times New Roman CE"/>
        <family val="1"/>
        <charset val="238"/>
      </rPr>
      <t>2</t>
    </r>
  </si>
  <si>
    <t>Razem inne roboty mostowe:</t>
  </si>
  <si>
    <t>1.9.1.3</t>
  </si>
  <si>
    <t>1.6.1.15</t>
  </si>
  <si>
    <t>1.8.5.3</t>
  </si>
  <si>
    <t>ODWODNIENIE</t>
  </si>
  <si>
    <t>1.10.2</t>
  </si>
  <si>
    <t>1.10.2.4</t>
  </si>
  <si>
    <t>- montaż kanału z rur PP f 200 mm na ławie betonowej (za przyczółkiem),</t>
  </si>
  <si>
    <t>Razem odwodnienie:</t>
  </si>
  <si>
    <t>1.13.1.2</t>
  </si>
  <si>
    <t>1.14</t>
  </si>
  <si>
    <t>1.14.1</t>
  </si>
  <si>
    <t>1.14.1.1</t>
  </si>
  <si>
    <t>1.14.2</t>
  </si>
  <si>
    <t>1.14.2.1</t>
  </si>
  <si>
    <t>1.14.2.2</t>
  </si>
  <si>
    <t>1.14.3</t>
  </si>
  <si>
    <t>1.14.3.1</t>
  </si>
  <si>
    <t>1.14.3.4</t>
  </si>
  <si>
    <t>1.14.3.5</t>
  </si>
  <si>
    <t>1.14.5</t>
  </si>
  <si>
    <t>1.14.5.1</t>
  </si>
  <si>
    <t>1.14.5.2</t>
  </si>
  <si>
    <t>1.14.6</t>
  </si>
  <si>
    <t>1.14.6.1</t>
  </si>
  <si>
    <t>1.14.7</t>
  </si>
  <si>
    <t>1.14.8</t>
  </si>
  <si>
    <t>1.14.8.1</t>
  </si>
  <si>
    <t>1.14.8.2</t>
  </si>
  <si>
    <t>1.14.9</t>
  </si>
  <si>
    <t>1.14.9.1</t>
  </si>
  <si>
    <t>1.14.13</t>
  </si>
  <si>
    <t>1.14.13.1</t>
  </si>
  <si>
    <t>Maty antywibracyjne</t>
  </si>
  <si>
    <t>Cena jedn.</t>
  </si>
  <si>
    <t>Wartość netto</t>
  </si>
  <si>
    <t>1.14.13.3</t>
  </si>
  <si>
    <t>1.14.13.4</t>
  </si>
  <si>
    <t>Zbrojenie betonu stalą</t>
  </si>
  <si>
    <t>Strefy przejściowe za obiektami</t>
  </si>
  <si>
    <t>- wykonanie i montaż zbrojenia elementów mostu stalą klasy A-IIIN:</t>
  </si>
  <si>
    <t>- zabudowa chodnikowa</t>
  </si>
  <si>
    <t>Beton zabudów chodnikowych</t>
  </si>
  <si>
    <t xml:space="preserve"> </t>
  </si>
  <si>
    <t>Izolacja na bazie żywic metylo-metakrylowych</t>
  </si>
  <si>
    <t>- wykonanie izolacji płyty ustroju nośnego materiałem na bazie żywic metylo-metakrylowych</t>
  </si>
  <si>
    <t>- wykonanie dylatacji podłużnej pomiędzy płytami ustroju nośnego składającej się z wkładki dylatacyjnej, masy uszczelniającej, taśmy uszczelniającej, materiału wypełniającego (np. styropian gr. 2 cm) oraz zabezpieczenia w postaci blachy stalowej zabezpieczonej antykorozyjnie gr. 4 mm</t>
  </si>
  <si>
    <t>- wykonanie dylatacji pionowej pomiędzy korpusami podpór skrajnych składającej się z wkładki dylatacyjnej, masy uszczelniającej oraz materiału wypełniającego (np. styropian gr. 2 cm)</t>
  </si>
  <si>
    <t>- oczyszczenie i przygotowanie powierzchni betonowych oraz powierzchniowe zabezpieczenie antykorozyjne powierzchni gzymsów monolitycznych - materiałem elastycznym typu PCC ze zdolnością pokrywania zarysowań do 0,3 mm</t>
  </si>
  <si>
    <t>- ułożenie na płycie ustroju nośnego mat antywibracyjnych gr. 5 cm wraz z wycięciem odpowiednich otworów nad wpustami mostowymi,</t>
  </si>
  <si>
    <t>- oczyszczenie i przygotowanie powierzchni betonowych oraz powierzchniowe zabezpieczenie antykorozyjne powierzchni zewnętrznych ustroju nośnego oraz podpór - materiałem elastycznym, stanowiącym jednokomponentowy, niskolepny, bezbarwny roztwór na bazie siloksanu</t>
  </si>
  <si>
    <t>- montaż (założenie) reperów na konstrukcji obiektu wraz z niezbędnymi pracami geodezyjnymi</t>
  </si>
  <si>
    <r>
      <t xml:space="preserve">Beton podpór w elementach o grubości </t>
    </r>
    <r>
      <rPr>
        <u/>
        <sz val="9"/>
        <rFont val="Arial"/>
        <family val="2"/>
        <charset val="238"/>
      </rPr>
      <t>&gt;</t>
    </r>
    <r>
      <rPr>
        <sz val="9"/>
        <rFont val="Arial"/>
        <family val="2"/>
        <charset val="238"/>
      </rPr>
      <t xml:space="preserve"> 60 cm</t>
    </r>
  </si>
  <si>
    <r>
      <t xml:space="preserve">Beton ustroju niosącego w elementach o grubości </t>
    </r>
    <r>
      <rPr>
        <u/>
        <sz val="9"/>
        <rFont val="Arial"/>
        <family val="2"/>
        <charset val="238"/>
      </rPr>
      <t>&gt;</t>
    </r>
    <r>
      <rPr>
        <sz val="9"/>
        <rFont val="Arial"/>
        <family val="2"/>
        <charset val="238"/>
      </rPr>
      <t xml:space="preserve"> 60 cm</t>
    </r>
  </si>
  <si>
    <t>Ścieki skarpowe i powierzchniowe wraz z zagospodarowaniem terenu przy obiekcie</t>
  </si>
  <si>
    <t>Pozostałe konstrukcje stalowe</t>
  </si>
  <si>
    <t>- ułożenie prefabrykatów betonowych wylotu drenażu wg KPED</t>
  </si>
  <si>
    <t>- konstrukcje ramownicowe (ława + ściany + rygiel)</t>
  </si>
  <si>
    <t>- wykonanie ław fundamentowych - ławy z betonu klasy C35/45 w deskowaniu (ramownica)</t>
  </si>
  <si>
    <t>- wykonanie przyczółków z betonu klasy C35/45 w deskowaniu (ramownica),</t>
  </si>
  <si>
    <t>- wykonanie płyty ustroju nośnego z betonu klasy C35/45 w deskowaniu</t>
  </si>
  <si>
    <t>- wykonanie zabudów chodnikowych z betonu klasy C30/37 w deskowaniu</t>
  </si>
  <si>
    <t>Beton klasy poniżej C20/25 bez deskowania</t>
  </si>
  <si>
    <t>- ułożenie i zagęszczenie warstwy z betonu klasy C12/15 pod fundamenty podpór,</t>
  </si>
  <si>
    <t>- ułożenie i zagęszczenie warstwy z betonu klasy C12/15 - podbudowa pod elementy odwodnienia (drenaże i ścieki)</t>
  </si>
  <si>
    <t>- wykonanie murków oporowych 30x80 cm (bez deskowania) - podwalin umocnienie skarp stożków z betonu klasy C16/20</t>
  </si>
  <si>
    <t>- ułożenie na macie i geosiatce warstwy wyrównawczej z klińca o grubości wg Dokumentacji Projektowej,</t>
  </si>
  <si>
    <t>- wykonanie połączenia pomiędzy korpusem przyczółka a murem oporowym (skrzydłem) z grodzic składającego się z profilu stalowego (L60x60x6) oraz materiału wypełniającego (zaprawa niskoskurczowa)</t>
  </si>
  <si>
    <t>- wykonanie umocnienia wylotów ścieku - bruk kamienny gr. 13-16 cm</t>
  </si>
  <si>
    <t>- wykonanie płyty ustroju nośnego z betonu klasy C35/45 w deskowaniu (wsporniki rygla ramownicy)</t>
  </si>
  <si>
    <t>- wykonanie ścieku skarpowego z prefabrykatów betonowych trapezowych na podsypce cementowo - piaskowej gr. min. 7 cm</t>
  </si>
  <si>
    <t>- ułożenie prefabrykatów schodów o szer. 80 cm na podsypce żwirowej lub cementowo-piaskowej grubości 10 cm oraz montaż poręczy stalowej na fundamentach betonowych</t>
  </si>
  <si>
    <t>- wykonanie izolacji pionowej i poziomej powierzchni odziemnych betonu gzymsów ścian oporowych - poprzez trzykrotne posmarowanie materiałem powłokowym do izolacji na zimno wraz z zagruntowaniem</t>
  </si>
  <si>
    <t>- wykonanie izolacji powierzchni betonu w strefach przydylatacyjnych</t>
  </si>
  <si>
    <t>Izolacja bitumiczno-lateksowa</t>
  </si>
  <si>
    <t>- pokrywanie powierzchni ścian oporowych z grodzic stalowych od strony gruntu</t>
  </si>
  <si>
    <t>poz.</t>
  </si>
  <si>
    <t>- pokrywanie powłokami malarskimi powierzchni ścian oporowych z grodzic stalowych od strony widocznej</t>
  </si>
  <si>
    <t>Izolacja powierzchni betonowych z papy termozgrzewalnej</t>
  </si>
  <si>
    <t>- ułożenie izolacjo-nawierzchni poliuretanowo-epoksydowej na zabudowach chodnikowych wraz z zagruntowaniem podłoża,</t>
  </si>
  <si>
    <t>- montaż studni kanalizacyjnej z PCC lub PP średnicy DN 600 mm w linii odwodnienia i drenażu</t>
  </si>
  <si>
    <t>- wykonanie warstwy filtracyjnej z geokompozytów i geowłókniny filtarcyjnej</t>
  </si>
  <si>
    <t>- wykonanie i montaż osłon stalowych zapobiegających wysypywaniu się tłucznia,</t>
  </si>
  <si>
    <t xml:space="preserve">- wypełnienie wykopów fundamentowych za ławami przyczółków betonem klasy C12/15   </t>
  </si>
  <si>
    <t xml:space="preserve">- umocnienie skarp betonowymi płytami ażurowymi typu Meba 40x60 cm na podsypce cementowo-piaskowej z wypełnieniem humusem i obsianiem trawą                      </t>
  </si>
  <si>
    <t>Oznakowanie pionowe skrajni drogi pod obiektem</t>
  </si>
  <si>
    <t>- gzymsy na ścianach oporowych stalowych</t>
  </si>
  <si>
    <t>- powierzchnie betonowe ścian do wysokości 2,50 m</t>
  </si>
  <si>
    <t>- wykonanie gzymsów ścian z betonu klasy C30/37 w deskowaniu,</t>
  </si>
  <si>
    <t>ST.06.11.22</t>
  </si>
  <si>
    <t>ST.06.14.02</t>
  </si>
  <si>
    <t>ST.06.15.23</t>
  </si>
  <si>
    <t>ST.06.20.05.</t>
  </si>
  <si>
    <t>ST.06.20.09.</t>
  </si>
  <si>
    <t>ST.06.01.00.</t>
  </si>
  <si>
    <t>ST.06.12.00</t>
  </si>
  <si>
    <t>ST.06.12.01</t>
  </si>
  <si>
    <t>ST.06.13.00</t>
  </si>
  <si>
    <t>ST.06.13.01.</t>
  </si>
  <si>
    <t>ST.06.13.03.</t>
  </si>
  <si>
    <t>ST.06.13.04.</t>
  </si>
  <si>
    <t>ST.06.13.05.</t>
  </si>
  <si>
    <t>ST.06.13.06.</t>
  </si>
  <si>
    <t>ST.06.13.09</t>
  </si>
  <si>
    <t>ST.06.13.22.</t>
  </si>
  <si>
    <t>ST.06.15.02.</t>
  </si>
  <si>
    <t>ST.06.15.31</t>
  </si>
  <si>
    <t>ST.06.15.27.</t>
  </si>
  <si>
    <t>ST.06.15.28.</t>
  </si>
  <si>
    <t>ST.06.16.00</t>
  </si>
  <si>
    <t>ST.06.16.02.</t>
  </si>
  <si>
    <t>ST.06.18.00</t>
  </si>
  <si>
    <t>ST.06.18.21.</t>
  </si>
  <si>
    <t>ST.06.19.00</t>
  </si>
  <si>
    <t>ST.06.19.04</t>
  </si>
  <si>
    <t>ST.06.20.00</t>
  </si>
  <si>
    <t>ST.06.20.02.</t>
  </si>
  <si>
    <t>ST.06.20.03.</t>
  </si>
  <si>
    <t>ST.06.20.08.</t>
  </si>
  <si>
    <t>ST.06.20.11.</t>
  </si>
  <si>
    <t>ST.06.20.15.</t>
  </si>
  <si>
    <t>ST.06.20.16.</t>
  </si>
  <si>
    <t>ST.06.20.28.</t>
  </si>
  <si>
    <t>ST.06.14.00</t>
  </si>
  <si>
    <t>ST.06.15.00</t>
  </si>
  <si>
    <t>Nazwa
zadania</t>
  </si>
  <si>
    <t>Nazwa i opis</t>
  </si>
  <si>
    <t>J.m.</t>
  </si>
  <si>
    <t>- montaż kotew talerzowych</t>
  </si>
  <si>
    <t>- wykonanie ścieku z prefabrykatów betonowych trójkątnych na podbudowie z mieszanki piaskowo-żwirowej (pospółki) gr. do 20 cm na podsypce cementowo - piaskowej gr. 5 cm</t>
  </si>
  <si>
    <t>- wykonanie izolacji pionowej i poziomej powierzchni odziemnych betonu ław fundamentowych - poprzez trzykrotne posmarowanie materiałem powłokowym do izolacji na zimno wraz z zagruntowaniem</t>
  </si>
  <si>
    <r>
      <t xml:space="preserve">- ułożenie rur drenarskich PVC-u średnicy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  <charset val="238"/>
      </rPr>
      <t xml:space="preserve"> 113/125 mm z otworami na 1/2 obwodu obłożonych geowłókniną w warstwie filtracyjnej - na podwalinie betonowej za przyczółkami</t>
    </r>
  </si>
  <si>
    <t>- wykonanie izolacji powierzchni pionowych betonu podpór w strefach stykających się z gruntem</t>
  </si>
  <si>
    <t>Nr
STWiORB</t>
  </si>
  <si>
    <t>Projekt ten przyczynia się do zmniejszenia różnic społecznych i gospodarczych pomiędzy obywatelami Unii Europejskiej</t>
  </si>
  <si>
    <t>PKP POLSKIE LINIE KOLEJOWE S.A.</t>
  </si>
  <si>
    <t>ul. Targowa 74</t>
  </si>
  <si>
    <t>03-734 Warszawa</t>
  </si>
  <si>
    <t>Nazwa projektu:</t>
  </si>
  <si>
    <t>Nazwa zadania:</t>
  </si>
  <si>
    <t>Adres obiektu budowlanego:</t>
  </si>
  <si>
    <t>Odcinek:</t>
  </si>
  <si>
    <t>ODCINEK B</t>
  </si>
  <si>
    <t>Linia kolejowa 201 od km 163,250 do km 187,045</t>
  </si>
  <si>
    <t>Nazwy i kody robót budowlanych CPV: (klasyfikacja robót wg Wspólnego Słownika Zamówień)</t>
  </si>
  <si>
    <t>Dział</t>
  </si>
  <si>
    <t>45000000-7</t>
  </si>
  <si>
    <t>Roboty budowlane</t>
  </si>
  <si>
    <t>Grupa</t>
  </si>
  <si>
    <t>45.1</t>
  </si>
  <si>
    <t>45100000-8</t>
  </si>
  <si>
    <t>Przygotowanie terenu pod budowę</t>
  </si>
  <si>
    <t>klasa</t>
  </si>
  <si>
    <t>45.2</t>
  </si>
  <si>
    <t>Roboty budowlane w zakresie wznoszenia kompletnych obiektów budowlanych lub ich części oraz roboty w zakresie inżynierii lądowej i wodnej</t>
  </si>
  <si>
    <t>45220000-5</t>
  </si>
  <si>
    <t>Roboty inżynieryjne i budowlane</t>
  </si>
  <si>
    <t xml:space="preserve"> „Prace na alternatywnym ciągu transportowym Bydgoszcz – Trójmiasto”</t>
  </si>
  <si>
    <t>Tom/Część</t>
  </si>
  <si>
    <t>Tytuł opracowania:</t>
  </si>
  <si>
    <t>45.2.2</t>
  </si>
  <si>
    <t>WARTOŚĆ KOSZTORYSOWA ROBÓT BEZ PODATKU VAT:</t>
  </si>
  <si>
    <t>SŁOWNIE:</t>
  </si>
  <si>
    <t>45200000-9</t>
  </si>
  <si>
    <t>ROBOTY BUDOWLANE W ZAKRESIE BUDOWY MOSTÓW I TUNELI, SZYBÓW I KOLEJ PODZIEMNEJ</t>
  </si>
  <si>
    <t>- wykonanie znaków B-16 / U-9c</t>
  </si>
  <si>
    <t>KOSZTORYS OFERTOWY</t>
  </si>
  <si>
    <t>Poręcze na obiektach kolejowych</t>
  </si>
  <si>
    <t>- montaż poręczy na obiekcie inżynieryjnym za pomocą kotew wklejanych lub śrub</t>
  </si>
  <si>
    <t>- montaż poręczy na skrzydłach przyczółków i ścianach oporowych za pomocą kotew wklejanych</t>
  </si>
  <si>
    <t>1.2.</t>
  </si>
  <si>
    <t>1.3.4.</t>
  </si>
  <si>
    <t>1.3.4.1.</t>
  </si>
  <si>
    <t>1.4.</t>
  </si>
  <si>
    <t>1.4.1.</t>
  </si>
  <si>
    <t>1.4.1.1.</t>
  </si>
  <si>
    <t>1.4.1.2.</t>
  </si>
  <si>
    <t>1.4.1.3.</t>
  </si>
  <si>
    <t>1.4.1.4.</t>
  </si>
  <si>
    <t>1.5.</t>
  </si>
  <si>
    <t>1.5.1.</t>
  </si>
  <si>
    <t>1.5.1.1.</t>
  </si>
  <si>
    <t>1.5.2.</t>
  </si>
  <si>
    <t>1.5.2.1.</t>
  </si>
  <si>
    <t>1.5.3.</t>
  </si>
  <si>
    <t>1.5.3.1.</t>
  </si>
  <si>
    <t>1.5.4.</t>
  </si>
  <si>
    <t>1.5.4.1.</t>
  </si>
  <si>
    <t>1.5.5.</t>
  </si>
  <si>
    <t>1.5.5.1.</t>
  </si>
  <si>
    <t>1.5.6.</t>
  </si>
  <si>
    <t>1.5.6.1.</t>
  </si>
  <si>
    <t>1.5.7.</t>
  </si>
  <si>
    <t>1.5.7.1.</t>
  </si>
  <si>
    <t>1.5.7.2.</t>
  </si>
  <si>
    <t>1.6.</t>
  </si>
  <si>
    <t>1.6.1.</t>
  </si>
  <si>
    <t>1.6.2.1.</t>
  </si>
  <si>
    <t>1.7.</t>
  </si>
  <si>
    <t>1.7.1.</t>
  </si>
  <si>
    <t>1.7.1.1.</t>
  </si>
  <si>
    <t>1.7.1.2.</t>
  </si>
  <si>
    <t>1.7.2.</t>
  </si>
  <si>
    <t>1.7.2.1.</t>
  </si>
  <si>
    <t>1.7.2.2.</t>
  </si>
  <si>
    <t>1.7.3.</t>
  </si>
  <si>
    <t>1.7.3.1.</t>
  </si>
  <si>
    <t>1.7.4.</t>
  </si>
  <si>
    <t>1.7.4.1.</t>
  </si>
  <si>
    <t>1.7.5.</t>
  </si>
  <si>
    <t>1.7.5.1.</t>
  </si>
  <si>
    <t>1.8.</t>
  </si>
  <si>
    <t>1.8.1.</t>
  </si>
  <si>
    <t>1.8.1.1.</t>
  </si>
  <si>
    <t>1.8.1.2.</t>
  </si>
  <si>
    <t>1.10.</t>
  </si>
  <si>
    <t>1.10.1.</t>
  </si>
  <si>
    <t>1.10.1.1.</t>
  </si>
  <si>
    <t>1.10.1.2.</t>
  </si>
  <si>
    <t>1.10.1.3.</t>
  </si>
  <si>
    <t>1.11.</t>
  </si>
  <si>
    <t>1.11.1.</t>
  </si>
  <si>
    <t>1.11.1.1.</t>
  </si>
  <si>
    <t>1.11.1.2.</t>
  </si>
  <si>
    <t>1.12.</t>
  </si>
  <si>
    <t>1.12.1.</t>
  </si>
  <si>
    <t>1.12.1.1.</t>
  </si>
  <si>
    <t>1.12.2.</t>
  </si>
  <si>
    <t>1.12.2.1.</t>
  </si>
  <si>
    <t>1.12.2.2.</t>
  </si>
  <si>
    <t>1.12.3.</t>
  </si>
  <si>
    <t>1.12.3.1.</t>
  </si>
  <si>
    <t>1.12.3.2.</t>
  </si>
  <si>
    <t>1.12.3.3.</t>
  </si>
  <si>
    <t>1.12.5.</t>
  </si>
  <si>
    <t>1.12.5.1.</t>
  </si>
  <si>
    <t>1.12.5.2.</t>
  </si>
  <si>
    <t>1.12.6.</t>
  </si>
  <si>
    <t>1.12.6.1.</t>
  </si>
  <si>
    <t>1.12.7.</t>
  </si>
  <si>
    <t>1.12.7.1.</t>
  </si>
  <si>
    <t>1.12.7.2.</t>
  </si>
  <si>
    <t>1.12.7.3.</t>
  </si>
  <si>
    <t>1.12.8.</t>
  </si>
  <si>
    <t>1.12.8.1.</t>
  </si>
  <si>
    <t>1.12.8.2.</t>
  </si>
  <si>
    <t>1.12.9.</t>
  </si>
  <si>
    <t>1.12.9.1.</t>
  </si>
  <si>
    <t>1.12.10.</t>
  </si>
  <si>
    <t>1.12.10.1.</t>
  </si>
  <si>
    <t>1.12.10.2.</t>
  </si>
  <si>
    <t>1.12.11.1.</t>
  </si>
  <si>
    <t>Zamawiający:</t>
  </si>
  <si>
    <t>1.6.1.1.</t>
  </si>
  <si>
    <t>PRZEDMIAR ROBÓT
Wiadukt kolejowy w km 163+471,24 (ist.163+556) LK201</t>
  </si>
  <si>
    <t>ŁĄCZNIE:</t>
  </si>
  <si>
    <t>Kod ind.</t>
  </si>
  <si>
    <t>Nazwa 
oprac.</t>
  </si>
  <si>
    <t>Budowa, przebudowa i rozbudowa linii kolejowej nr 201 od km 163,250 do km 187,045 – ODCINEK B w ramach projektu „Prace na alternatywnym ciągu transportowym Bydgoszcz – Trójmiasto”</t>
  </si>
  <si>
    <t>Województwo pomorskie, powiaty: kartuski, m. Gdańsk, gminy: Somonino, Kartuzy - G, Żukowo - G, Żukowo - M, M. Gdańsk</t>
  </si>
  <si>
    <t>Linia kolejowa wraz z infrastrukturą towarzyszącą</t>
  </si>
  <si>
    <t>Nazwa obiektu budowlanego:</t>
  </si>
  <si>
    <t>1.6.1.2.</t>
  </si>
  <si>
    <t>- montaż rury osłonowej f 139,7/5 mm w konstrukcji betonowej dla przejścia kanału f 110 mm,</t>
  </si>
  <si>
    <t>1.6.1.3.</t>
  </si>
  <si>
    <t>1.6.1.4.</t>
  </si>
  <si>
    <t>1.6.2.</t>
  </si>
  <si>
    <t>Mg</t>
  </si>
  <si>
    <t>- pokrywanie powłokami malarskimi konstrukcji wspornika podchodnikowego i konstrukcji wsporczych słupów trakcyjnych</t>
  </si>
  <si>
    <t>1.6.3.</t>
  </si>
  <si>
    <t>1.6.3.1.</t>
  </si>
  <si>
    <t>m2</t>
  </si>
  <si>
    <t>1.6.4.</t>
  </si>
  <si>
    <t>Metalizacja</t>
  </si>
  <si>
    <t>1.6.4.1.</t>
  </si>
  <si>
    <t>- wykonanie metalizacji wraz z oczyszczeniem konstrukcji osłon urządzeń obcych</t>
  </si>
  <si>
    <t>ST.06.14.01</t>
  </si>
  <si>
    <t>ST.06.14.12</t>
  </si>
  <si>
    <t>ST.06.14.10</t>
  </si>
  <si>
    <t>Pokrywanie powłokami malarskimi metalizowanej konstrukcji stalowej</t>
  </si>
  <si>
    <t>Pokrywanie powłokami malarskimi niemetalizowanej konstrukcji stalowej</t>
  </si>
  <si>
    <t>- montaż pod konstrukcją obiektu osłon urządzeń obcych w postaci blach osłonowych, mocowanych za pomocą podwieszeń systemowych,</t>
  </si>
  <si>
    <t>- montaż pod konstrukcją obiektu rur osłonowowych średnicy f 114,3/5 mm dla kabli za pomocą podwieszeń systemowych,</t>
  </si>
  <si>
    <r>
      <t>Rury i elementy o przekroju f 50</t>
    </r>
    <r>
      <rPr>
        <sz val="9"/>
        <rFont val="Czcionka tekstu podstawowego"/>
        <charset val="238"/>
      </rPr>
      <t>÷10</t>
    </r>
    <r>
      <rPr>
        <sz val="9"/>
        <rFont val="Arial"/>
        <family val="2"/>
        <charset val="238"/>
      </rPr>
      <t>00 mm</t>
    </r>
  </si>
  <si>
    <t>1.12.11.</t>
  </si>
  <si>
    <t>ST D.07.02.01</t>
  </si>
  <si>
    <r>
      <t>m</t>
    </r>
    <r>
      <rPr>
        <vertAlign val="superscript"/>
        <sz val="9"/>
        <color rgb="FFFF0000"/>
        <rFont val="Arial"/>
        <family val="2"/>
        <charset val="238"/>
      </rPr>
      <t>3</t>
    </r>
  </si>
  <si>
    <t>PRZEDMIAR ROBÓT
Most kolejowy w km 163+574,70 (ist.163+652) LK201</t>
  </si>
  <si>
    <t>- ławy fundamentowe</t>
  </si>
  <si>
    <t>- przyczółki</t>
  </si>
  <si>
    <t>- wykonanie ław fundamentowych - ławy z betonu klasy C30/37 w deskowaniu</t>
  </si>
  <si>
    <t>- wykonanie ścian skrzydeł z betonu klasy C30/37 w deskowaniu,</t>
  </si>
  <si>
    <t>1.5.2.2.</t>
  </si>
  <si>
    <t>- wykonanie ciosów podłożyskowych z betonu klasy C35/45 w deskowaniu</t>
  </si>
  <si>
    <t>- wykonanie przyczółków z betonu klasy C30/37 w deskowaniu,</t>
  </si>
  <si>
    <t>1.5.4.2.</t>
  </si>
  <si>
    <t>1.6.2.2.</t>
  </si>
  <si>
    <t>1.6.2.3.</t>
  </si>
  <si>
    <t>- montaż rury osłonowej f 193,7/5 mm w korpusie przyczółka dla przejścia kanału f 160 mm,</t>
  </si>
  <si>
    <t>1.6.2.4.</t>
  </si>
  <si>
    <t>- montaż pod konstrukcją obiektu rur osłonowych stalowych średnicy f 114,3/5 (kanał f 100mm) dla kabli za pomocą podwieszeń systemowych,</t>
  </si>
  <si>
    <t>1.6.2.5.</t>
  </si>
  <si>
    <t>- montaż pod konstrukcją obiektu rur osłonowych stalowych średnicy f 159/5 (kanał f 160 mm) dla kabli za pomocą podwieszeń systemowych,</t>
  </si>
  <si>
    <t>IZOLACJE I NAWIERZCHNIE</t>
  </si>
  <si>
    <t>ST.06.16.01.</t>
  </si>
  <si>
    <t>Wpusty</t>
  </si>
  <si>
    <t>- osadzenie wpustów mostowych, kolejowych z rurą odpływową o śr. wewnętrznej f 150 mm,</t>
  </si>
  <si>
    <t>1.8.2.</t>
  </si>
  <si>
    <t>1.8.2.1.</t>
  </si>
  <si>
    <t>- montaż kanału z rur PP f 160 mm wraz z mocowaniem do konstrukcji nośnej obiektu,</t>
  </si>
  <si>
    <t>1.8.2.2.</t>
  </si>
  <si>
    <t>- montaż kanału z rur PP f 160 mm na ławie betonowej (za przyczółkiem),</t>
  </si>
  <si>
    <t>1.8.2.3.</t>
  </si>
  <si>
    <t>1.9.</t>
  </si>
  <si>
    <t>ST.06.17.00</t>
  </si>
  <si>
    <t xml:space="preserve">ŁOŻYSKA </t>
  </si>
  <si>
    <t>1.9.3..</t>
  </si>
  <si>
    <t>ST.06.17.04.</t>
  </si>
  <si>
    <t>Łożyska garnkowe</t>
  </si>
  <si>
    <t>....</t>
  </si>
  <si>
    <t>montaż na ciosach podłożyskowych łożysk (nośność obliczeniowa)</t>
  </si>
  <si>
    <t>1.9.3.1.</t>
  </si>
  <si>
    <t>- o nośności min. 4200 kN - stałe</t>
  </si>
  <si>
    <t>1.9.3.2.</t>
  </si>
  <si>
    <t>- o nośności min. 4200 kN - jednokierunkowe</t>
  </si>
  <si>
    <t>1.9.3.3.</t>
  </si>
  <si>
    <t>- o nośności min. 4200 kN - wielokierunkowe</t>
  </si>
  <si>
    <t>Razem łożyska:</t>
  </si>
  <si>
    <t>ST.06.18.01.</t>
  </si>
  <si>
    <t>Modułowe urządzenia dylatacyjne</t>
  </si>
  <si>
    <t>- wykonanie dylatacji poprzecznej pomiędzy płytą ustroju nośnego a ścianką żwirową składającej się z z profilu dylatacyjnego jednomodułowego o przemieszczenia wg  Dokumentacji Projektowej oraz zabezpieczenia w postaci blachy stalowej zabezpieczonej antykorozyjnie gr. min. 3 mm</t>
  </si>
  <si>
    <t>1.10.2.</t>
  </si>
  <si>
    <t>1.10.2.1.</t>
  </si>
  <si>
    <t>- wykonanie dylatacji podłużnej pomiędzy płytami ortotropowymi ustroju nośnego składającej się z profilu stalowego osadzonego na masie uszczelniającej</t>
  </si>
  <si>
    <t>1.10.2.2.</t>
  </si>
  <si>
    <t>1.10.3..</t>
  </si>
  <si>
    <t>ST.02.07.</t>
  </si>
  <si>
    <t>Przyrządy wyrównawcze i odbojnice</t>
  </si>
  <si>
    <t>ST.06.20.26.</t>
  </si>
  <si>
    <t>Umocnienie brzegów i dna cieku</t>
  </si>
  <si>
    <t>- roboty ziemne na cieku wodnym</t>
  </si>
  <si>
    <t>- umocnienie dna cieku narzutem kamiennym grubości 30 cm</t>
  </si>
  <si>
    <t>1.12.10.3.</t>
  </si>
  <si>
    <t>- umocnienie skarp cieku materacami gabionowymi grubości ok.17 cm</t>
  </si>
  <si>
    <t xml:space="preserve">ŁĄCZNIE: </t>
  </si>
  <si>
    <t>PRZEDMIAR ROBÓT
Wiadukt kolejowy w km 163+758,45 (ist.163+844) LK201</t>
  </si>
  <si>
    <t>- wykonanie gzymsów skrzydeł z betonu klasy C30/37 w deskowaniu,</t>
  </si>
  <si>
    <t>1.6.1.5.</t>
  </si>
  <si>
    <t>1.6.1.6.</t>
  </si>
  <si>
    <t>- pokrywanie powłokami malarskimi osłon urządzeń obcych</t>
  </si>
  <si>
    <t>ST.06.14.11.</t>
  </si>
  <si>
    <t>ST.06.20.20.</t>
  </si>
  <si>
    <t>Instalacja urządzeń obcych na obiektach inżynieryjnych</t>
  </si>
  <si>
    <t>- instalacja rur osłonowych kabli</t>
  </si>
  <si>
    <t>- montaż zakotwień pod oświetlenie punktowe</t>
  </si>
  <si>
    <t>1.12.11.2.</t>
  </si>
  <si>
    <t>1.12.12..</t>
  </si>
  <si>
    <t>1.12.12.1.</t>
  </si>
  <si>
    <t>- wykonanie znaków B-16 i U-9c</t>
  </si>
  <si>
    <t>PRZEDMIAR ROBÓT
Wiadukt kolejowy w km 165+292,78 (ist.165+383) LK201</t>
  </si>
  <si>
    <t>PRZYGOTOWANIE TERENU POD BUDOWĘ</t>
  </si>
  <si>
    <t>Razem roboty przygotowawcze:</t>
  </si>
  <si>
    <t>1.3.</t>
  </si>
  <si>
    <t>ST.06.11.00</t>
  </si>
  <si>
    <t>FUNDAMENTOWANIE</t>
  </si>
  <si>
    <t>1.3.6..</t>
  </si>
  <si>
    <t>ST.06.11.40</t>
  </si>
  <si>
    <t>Wzmocnienie podłoża gruntowego fundamentów</t>
  </si>
  <si>
    <t>1.3.6.1.</t>
  </si>
  <si>
    <r>
      <rPr>
        <sz val="9"/>
        <color rgb="FFFF0000"/>
        <rFont val="Arial"/>
        <family val="2"/>
        <charset val="238"/>
      </rPr>
      <t xml:space="preserve">- wzmocnienie podłoża gruntowego pod fundamentami </t>
    </r>
    <r>
      <rPr>
        <sz val="10"/>
        <color rgb="FFFF0000"/>
        <rFont val="Arial"/>
        <family val="2"/>
        <charset val="238"/>
      </rPr>
      <t>wiaduktu metodą iniekcji niskociśnieniowej</t>
    </r>
  </si>
  <si>
    <t>Razem fundamentowanie:</t>
  </si>
  <si>
    <t>- płyta ustroju nośnego</t>
  </si>
  <si>
    <t>1.4.1.5.</t>
  </si>
  <si>
    <t>- wykonanie elementów podpór z betonu klasy C35/45 w deskowaniu</t>
  </si>
  <si>
    <t>1.5.2.3.</t>
  </si>
  <si>
    <t>- wykonanie płyty ustroju nośnego z betonu klasy C30/37 w deskowaniu</t>
  </si>
  <si>
    <t>1.5.6.2.</t>
  </si>
  <si>
    <t>1.6.2..</t>
  </si>
  <si>
    <t>1.9.1.</t>
  </si>
  <si>
    <t>ST.06.17.02.</t>
  </si>
  <si>
    <t>Łożyska elastomerowe</t>
  </si>
  <si>
    <t>montaż łożysk elastomerowych na ciosach podłożyskowych</t>
  </si>
  <si>
    <t>1.9.1.1.</t>
  </si>
  <si>
    <t>- o nośności min. 1000 kN - stałe</t>
  </si>
  <si>
    <t>1.9.1.2.</t>
  </si>
  <si>
    <t>- o nośności min. 1000 kN - jednokierunkowe</t>
  </si>
  <si>
    <t>1.9.1.3.</t>
  </si>
  <si>
    <t>- o nośności min. 1000 kN - wielokierunkowe</t>
  </si>
  <si>
    <t>1.13.</t>
  </si>
  <si>
    <t>ST.06.22.00</t>
  </si>
  <si>
    <t>ROBOTY REMONTOWE</t>
  </si>
  <si>
    <t>1.13.1.</t>
  </si>
  <si>
    <t xml:space="preserve">Roboty remontowe - czyszczenie i renowacja </t>
  </si>
  <si>
    <t>1.13.1.1.</t>
  </si>
  <si>
    <t xml:space="preserve">- czyszczenie i renowacja elementów obiektu inżynieryjnego </t>
  </si>
  <si>
    <t>1.13.2.</t>
  </si>
  <si>
    <t>ST.06.22.01</t>
  </si>
  <si>
    <t>Połaczenie nowego betonu z istniejącym</t>
  </si>
  <si>
    <t>1.13.2.1.</t>
  </si>
  <si>
    <t>- przygotowanie powierzchni połączenia nowego betonu z istniejacym</t>
  </si>
  <si>
    <t>1.13.3.</t>
  </si>
  <si>
    <t>ST.06.22.02</t>
  </si>
  <si>
    <t>Napraw ubytków powierzchni betonowych zaprawami typu PCC</t>
  </si>
  <si>
    <t>1.13.3.1.</t>
  </si>
  <si>
    <t>- wykonanie napraw powierzchni betonowych zaprawami typu PCC</t>
  </si>
  <si>
    <t>1.13.4.</t>
  </si>
  <si>
    <t>ST.06.22.03</t>
  </si>
  <si>
    <t>Naprawa zarysowanych powierzchni betonowych przez iniekcję</t>
  </si>
  <si>
    <t>1.13.4.1.</t>
  </si>
  <si>
    <t>- wykonanie iniekcji rys w elementach betonowych</t>
  </si>
  <si>
    <t>1.13.5.</t>
  </si>
  <si>
    <t>ST.06.22.04</t>
  </si>
  <si>
    <t>Naprawa powierzchni betonowych przez opłaszczowanie</t>
  </si>
  <si>
    <t>1.13.5.1.</t>
  </si>
  <si>
    <t>- wykonanie płaszcza betonowego o grubości 10 cm na powierzchniach istniejących podpór</t>
  </si>
  <si>
    <t>Razem roboty remontowe:</t>
  </si>
  <si>
    <t>PRZEDMIAR ROBÓT
Wiadukt kolejowy w km 168+747,75 (ist.168+849) LK201</t>
  </si>
  <si>
    <t>Pokrywanie powłokami metalizowanej malarskimi konstrukcji stalowej</t>
  </si>
  <si>
    <t>Pokrywanie powłokami niemetalizowanej malarskimi konstrukcji stalowej</t>
  </si>
  <si>
    <t>ST.06.14.11</t>
  </si>
  <si>
    <t>1.12.11..</t>
  </si>
  <si>
    <t>PRZEDMIAR ROBÓT
Wiadukt kolejowy w km 169+063,62 (ist.169+163) LK201</t>
  </si>
  <si>
    <t>1.1.</t>
  </si>
  <si>
    <t>ST.01.01.01.</t>
  </si>
  <si>
    <t>ROBOTY POMIAROWE</t>
  </si>
  <si>
    <t>- wykonanie izolacji powierzchni betonu podpór w strefach stykających się z gruntem</t>
  </si>
  <si>
    <t>- wykonanie ścieku z prefabrykatów betonowych korytkowych na podbudowie z mieszanki piaskowo-żwirowej (pospółki) gr. do 20 cm na podsypce cementowo - piaskowej gr. 5 cm</t>
  </si>
  <si>
    <t>1.12.7.4.</t>
  </si>
  <si>
    <t xml:space="preserve">- czyszczenie i renowacja elementóww obiektu inżynieryjnego </t>
  </si>
  <si>
    <t>PRZEDMIAR ROBÓT
Wiadukt kolejowy w km 171+852,37 (ist.171+953) LK201</t>
  </si>
  <si>
    <t>PRZEDMIAR ROBÓT
Wiadukt kolejowy w km 175+319,85 (ist.175+424) LK201</t>
  </si>
  <si>
    <t>- filary</t>
  </si>
  <si>
    <t>- schody dla pieszych</t>
  </si>
  <si>
    <t>1.4.1.6.</t>
  </si>
  <si>
    <t>- przejście dla pieszych</t>
  </si>
  <si>
    <t>1.4.1.7.</t>
  </si>
  <si>
    <t>- podpory windy</t>
  </si>
  <si>
    <t>- wykonanie elementów podpór wind z betonu klasy C30/37 w deskowaniu</t>
  </si>
  <si>
    <t>1.5.3.2.</t>
  </si>
  <si>
    <t>- wykonanie filarów z betonu klasy C30/37 w deskowaniu,</t>
  </si>
  <si>
    <t>1.5.3.3.</t>
  </si>
  <si>
    <t>- schodów dla pieszych z betonu klasy C30/37 w deskowaniu</t>
  </si>
  <si>
    <t>1.6.4..</t>
  </si>
  <si>
    <t>- odwodnienie liniowe,</t>
  </si>
  <si>
    <t>1.8.2.4.</t>
  </si>
  <si>
    <t>- o nośności min. 2100 kN - stałe</t>
  </si>
  <si>
    <t>- o nośności min. 2100 kN - jednokierunkowe</t>
  </si>
  <si>
    <t>- o nośności min. 2100 kN - wielokierunkowe</t>
  </si>
  <si>
    <t>- wykonanie dylatacji pomiędzy korpusem przyczółka a skrzydłem monolitycznym składającej się z masy uszczelniającej oraz materiału wypełniającego (np.. styropian gr. 2 cm)</t>
  </si>
  <si>
    <t>1.10.2.3.</t>
  </si>
  <si>
    <t>1.11.1.3.</t>
  </si>
  <si>
    <t>- montaż poręczy na schodach dla pieszych za pomocą kotew wklejanych</t>
  </si>
  <si>
    <t>- wykonanie ścieku z prefabrykatów betonowych trójkątnych na podbudowie z mieszanki piaskowo-żwirowej (pospółki) gr. 15 cm na podsypce cementowo - piaskowej gr. 5 cm</t>
  </si>
  <si>
    <t>ST.06.20.33 ST.06.20.34</t>
  </si>
  <si>
    <t>Okładziny ścienne z płyt kamiennych i innych / Nawierzchnia z płyt kamiennych</t>
  </si>
  <si>
    <t>- montaż płyt kamiennych na powierzchniach poziomych (posadzki, schody)</t>
  </si>
  <si>
    <t>- inne elementy wykończeniowe</t>
  </si>
  <si>
    <t>1.12.9.2.</t>
  </si>
  <si>
    <t>1.12.12.</t>
  </si>
  <si>
    <t>1.12.12.2.</t>
  </si>
  <si>
    <t>- montaż zakotwień latarni</t>
  </si>
  <si>
    <t>1.12.12.3.</t>
  </si>
  <si>
    <t>1.12.13.</t>
  </si>
  <si>
    <t>1.12.13.1.</t>
  </si>
  <si>
    <t>ST.06.13.10.</t>
  </si>
  <si>
    <t>Inne konstrukcje betonowe</t>
  </si>
  <si>
    <t>1.5.8.</t>
  </si>
  <si>
    <t>1.5.8.1.</t>
  </si>
  <si>
    <t>1.5.8.2.</t>
  </si>
  <si>
    <t>- montaż pod konstrukcją obiektu osłon urządzeń obcych w postaci blach lub rur osłonowych, mocowanych za pomocą podwieszeń systemowych,</t>
  </si>
  <si>
    <t>1.6.5.</t>
  </si>
  <si>
    <t>PRZEDMIAR ROBÓT
Kładka dla pieszych w km 177+889,01 LK201</t>
  </si>
  <si>
    <t>1.5.5.2.</t>
  </si>
  <si>
    <t>- osadzenie wpustów mostowych z rurą odpływową o śr. wewnętrznej f 150 mm,</t>
  </si>
  <si>
    <t>- o nośności min. 300 kN - stałe</t>
  </si>
  <si>
    <t>- o nośności min. 300 kN - jednokierunkowe</t>
  </si>
  <si>
    <t>- o nośności min. 300 kN - wielokierunkowe</t>
  </si>
  <si>
    <r>
      <t xml:space="preserve">- ułożenie rur drenarskich PVC-u średnicy </t>
    </r>
    <r>
      <rPr>
        <sz val="9"/>
        <rFont val="Symbol"/>
        <family val="1"/>
        <charset val="2"/>
      </rPr>
      <t>f</t>
    </r>
    <r>
      <rPr>
        <sz val="9"/>
        <rFont val="Arial"/>
        <family val="2"/>
        <charset val="238"/>
      </rPr>
      <t xml:space="preserve"> 113/126 mm z otworami na 1/2 obwodu obłożonych geowłókniną w warstwie filtracyjnej - na podwalinie betonowej za przyczółkami</t>
    </r>
  </si>
  <si>
    <t>1.0.3.1.</t>
  </si>
  <si>
    <t xml:space="preserve">- plantowanie skarpy wraz z humusowaniem i obsianiem trawą                     </t>
  </si>
  <si>
    <t>1.12.4.</t>
  </si>
  <si>
    <t>1.12.4.1.</t>
  </si>
  <si>
    <t>1.12.4.2.</t>
  </si>
  <si>
    <t>1.12.6.2.</t>
  </si>
  <si>
    <t>- ustwienie latarni na konstrukcji stalowej</t>
  </si>
  <si>
    <t>ST.06.20.30</t>
  </si>
  <si>
    <t>Osłony przeciwporażeniowe</t>
  </si>
  <si>
    <t>- montaż osłon przeciw porażeniowych</t>
  </si>
  <si>
    <t>PRZEDMIAR ROBÓT
Przejście dla pieszych pod torami w km 178+961,40 LK201</t>
  </si>
  <si>
    <t>- przejście podziemne</t>
  </si>
  <si>
    <t>- wejście wschodnie i ściany oporowe</t>
  </si>
  <si>
    <t>- wejście zachodnie</t>
  </si>
  <si>
    <t>- schody na perony</t>
  </si>
  <si>
    <t>- wykonanie ścian oporowych z betonu klasy C30/37 w deskowaniu,</t>
  </si>
  <si>
    <t>- montaż rury osłonowej f 88,9/4 mm w konstrukcji betonowej dla przejścia kabla oświetleniowego,</t>
  </si>
  <si>
    <r>
      <t>Rury i elementy o przekroju f 50</t>
    </r>
    <r>
      <rPr>
        <sz val="9"/>
        <rFont val="Czcionka tekstu podstawowego"/>
        <charset val="238"/>
      </rPr>
      <t>÷100</t>
    </r>
    <r>
      <rPr>
        <sz val="9"/>
        <rFont val="Arial"/>
        <family val="2"/>
        <charset val="238"/>
      </rPr>
      <t>0 mm</t>
    </r>
  </si>
  <si>
    <t xml:space="preserve">- wykonanie dylatacji podłużnej pomiędzy płytami ustroju nośnego składającej się z wkładki dylatacyjnej, masy uszczelniającej, taśmy uszczelniającej, materiału wypełniającego (np. styropian gr. 2 cm) </t>
  </si>
  <si>
    <t>- wykonanie ścieku z prefabrykatów betonowych korytkowych na podbudowie z mieszanki piaskowo-żwirowej (pospółki) gr. 20 cm na podsypce cementowo - piaskowej gr. 5 cm</t>
  </si>
  <si>
    <t>- montaż płyt kamiennych na powierzchniach pionowych (ściany, podpory)</t>
  </si>
  <si>
    <t>ST.06.20.31</t>
  </si>
  <si>
    <t xml:space="preserve">Roboty pokrywcze zadaszeń pochylni, wyjść schodowych </t>
  </si>
  <si>
    <t>- wykonanie zadaszeń ciągów pieszych z poliwęglanu na szkielecie z profili stalowych</t>
  </si>
  <si>
    <t>PRZEDMIAR ROBÓT
Wiadukt kolejowy w km 180+924,40 (ist.181+028) LK201</t>
  </si>
  <si>
    <r>
      <t>m</t>
    </r>
    <r>
      <rPr>
        <vertAlign val="superscript"/>
        <sz val="9"/>
        <color rgb="FFFF0000"/>
        <rFont val="Arial"/>
        <family val="2"/>
        <charset val="238"/>
      </rPr>
      <t>2</t>
    </r>
  </si>
  <si>
    <t>PRZEDMIAR ROBÓT
Most kolejowy w km 183+790,42 (ist.183+897) LK201</t>
  </si>
  <si>
    <t>- elementy betonowe przepustów</t>
  </si>
  <si>
    <t>- wykonanie elementów betonowych przepustów z betonu klasy C30/37 w deskowaniu</t>
  </si>
  <si>
    <t>1.0.1.</t>
  </si>
  <si>
    <t>1.0.1.1.</t>
  </si>
  <si>
    <t>1.0.1.2.</t>
  </si>
  <si>
    <t>- wykonanie umocnienia wylotu typ 2</t>
  </si>
  <si>
    <t>- wykonanie płaszcza betonowego o grubości do 10 cm betonem natryskowym</t>
  </si>
  <si>
    <t>PRZEDMIAR ROBÓT
Wiadukt kolejowy w km 184+134,70 (ist.184+243) LK201</t>
  </si>
  <si>
    <t>- ściany szczelinowe i oporowe monolityczne</t>
  </si>
  <si>
    <t>- szyby windowe</t>
  </si>
  <si>
    <t>- wykonanie elementów szybów windowych z betonu klasy C30/37 w deskowaniu</t>
  </si>
  <si>
    <t>ST.06.13.30.</t>
  </si>
  <si>
    <t>Ściany oporowe kątowe prefabrykowane</t>
  </si>
  <si>
    <t>- wykonanie prefabrykatu żelbetowego kątowego o wymiarach: 2,05x1,15x1,0m (g = 0,25m)</t>
  </si>
  <si>
    <t>- wykonanie prefabrykatu żelbetowego kątowego o wymiarach: 1,55x0,85x1,0m (g = 0,25m)</t>
  </si>
  <si>
    <t>1.5.6.3.</t>
  </si>
  <si>
    <t>- wykonanie prefabrykatu żelbetowego kątowego o wymiarach: 2,80x1,60x1,0m (g = 0,25m)</t>
  </si>
  <si>
    <t>Razem prefabrykaty betonowe:</t>
  </si>
  <si>
    <t>- montaż pod konstrukcją obiektu rur osłonowych stalowych średnicy f 139,7/5 (kanał f 110mm) dla kabli za pomocą podwieszeń systemowych</t>
  </si>
  <si>
    <t>- montaż konstrukcji osłonowej przejścia urządzeń obcych przez ściane oporową z grodzic</t>
  </si>
  <si>
    <t>- wykonanie izolacji pionowej i poziomej powierzchni odziemnych betonu podpór - poprzez trzykrotne posmarowanie materiałem powłokowym do izolacji na zimno wraz z zagruntowaniem</t>
  </si>
  <si>
    <t>1.9.3.</t>
  </si>
  <si>
    <t>- o nośności min. 3200 kN - stałe</t>
  </si>
  <si>
    <t>- o nośności min. 2500/3200 kN - jednokierunkowe</t>
  </si>
  <si>
    <t>- o nośności min. 2500/3200 kN - wielokierunkowe</t>
  </si>
  <si>
    <t>- montaż balustrady na obiekcie inżynieryjnym za pomocą kotew wklejanych lub śrub</t>
  </si>
  <si>
    <t>1.12.3.4.</t>
  </si>
  <si>
    <t>KOSZTORYS UPROSZCZONY
Most kolejowy w km 184+376,09 (ist.184+483) LK201</t>
  </si>
  <si>
    <t>1.0.0.1.</t>
  </si>
  <si>
    <t xml:space="preserve">- wykonanie podbudowy torowiska z kruszywa o gr. 50 cm   </t>
  </si>
  <si>
    <t>- montaż kanału z rur PP f 200 mm wraz z mocowaniem do konstrukcji nośnej obiektu,</t>
  </si>
  <si>
    <t>- o nośności min. 3800 kN - stałe</t>
  </si>
  <si>
    <t>- o nośności min. 2900 / 3800 kN - jednokierunkowe</t>
  </si>
  <si>
    <t>- o nośności min. 2900 / 3800 kN - wielokierunkowe</t>
  </si>
  <si>
    <t>PRZEDMIAR ROBÓT
Wiadukt kolejowy w km 185+371,64 (ist.185+478) LK201 - tor nr 1</t>
  </si>
  <si>
    <t>- montaż rury osłonowej f 273,0/5 mm w korpusie przyczółka dla przejścia kanału f 200 mm,</t>
  </si>
  <si>
    <t>- montaż pod konstrukcją obiektu rur osłonowych f 114,3/5 mm, mocowanych za pomocą podwieszeń systemowych,</t>
  </si>
  <si>
    <t>- o nośności min. 2700 kN - stałe</t>
  </si>
  <si>
    <t>- o nośności min. 2700 kN - jednokierunkowe</t>
  </si>
  <si>
    <t>- o nośności min. 2700 kN - wielokierunkowe</t>
  </si>
  <si>
    <t>1.10.0.1.</t>
  </si>
  <si>
    <t>PRZEDMIAR ROBÓT
Wiadukt kolejowy w km 185+379,67 toru nr 2 (ist.185+478) LK201</t>
  </si>
  <si>
    <t>ST.06.20.29</t>
  </si>
  <si>
    <t>PRZEDMIAR ROBÓT
Most kolejowy w km 185+702,55 (ist.185+821) LK201</t>
  </si>
  <si>
    <t>Przepusty prefabrykowane</t>
  </si>
  <si>
    <t>- wykonanie przepustu prefabrykowanego rurowego kwadratowego o wymiarach wewnętrznych 2,25 x 2,25 m, g=0,25 m</t>
  </si>
  <si>
    <t>- wykonanie prefabrykatu studni rewizyjnej Dw=1,0 m</t>
  </si>
  <si>
    <t>Razem przepusty betonowe:</t>
  </si>
  <si>
    <t>- wykonanie i montaż włazów i drabin</t>
  </si>
  <si>
    <t>- wykonanie izolacji powierzchni betonu przepustu</t>
  </si>
  <si>
    <t>1.12.1.2.</t>
  </si>
  <si>
    <t>- wykonanie umocnienia wylotów typ 1</t>
  </si>
  <si>
    <t>1.9.2.</t>
  </si>
  <si>
    <t>ST.06.17.03.</t>
  </si>
  <si>
    <t>Łożyska sferyczne (soczewkowe)</t>
  </si>
  <si>
    <t>1.9.2.1.</t>
  </si>
  <si>
    <t>- o nośności min. 9000 kN - nieprzesuwne</t>
  </si>
  <si>
    <t>1.9.2.2.</t>
  </si>
  <si>
    <t>- o nośności min. 9000 kN - jednokierunkowe</t>
  </si>
  <si>
    <t>1.9.2.3.</t>
  </si>
  <si>
    <t>- o nośności min. 9000 kN - wielokierunkowe</t>
  </si>
  <si>
    <t>-montaż osłon przeciw porażeniowych</t>
  </si>
  <si>
    <t>PRZEDMIAR ROBÓT 
Wiadukt kolejowy w km 186+458,95 (ist.186+556) LK201 - tor nr 1</t>
  </si>
  <si>
    <t>- inne</t>
  </si>
  <si>
    <t>- wykonanie fundamentów pod słupy trakcyjne z betonu klasy C30/37 w deskowaniu,</t>
  </si>
  <si>
    <t>- wykonanie i montaż marek do kotwienia słupów trakcyjnych,</t>
  </si>
  <si>
    <t>- montaż studni kanalizacyjnej z PCC lub PP średnicy DN 800 mm w linii odwodnienia i drenażu</t>
  </si>
  <si>
    <t>1.0.3.3.</t>
  </si>
  <si>
    <t>- ułożenie prefabrykatów betonowych wylotu ścieku wg KPED</t>
  </si>
  <si>
    <t>PRZEDMIAR ROBÓT 
Wiadukt kolejowy w km 186+458,95 (ist.186+556) LK201 - tor nr 1a i nr 2</t>
  </si>
  <si>
    <t>1.6.2.6.</t>
  </si>
  <si>
    <t>- montaż rury osłonowej f 219,1/4,5 mm w korpusie przyczółka dla przejścia kanału f 160 mm,</t>
  </si>
  <si>
    <t>- montaż kanału z rur PP f 250 mm na ławie betonowej (za przyczółkiem),</t>
  </si>
  <si>
    <t>PRZEDMIAR ROBÓT 
Wiadukt kolejowy w km 173+724,52 (ist.173+817) - roboty zabezpieczające</t>
  </si>
  <si>
    <t>1.3.4..</t>
  </si>
  <si>
    <t>- wzmocnienie podłoża gruntowego pod torowiskiem i fundamentami wiaduktu metodą iniekcji niskociśnieniowej</t>
  </si>
  <si>
    <t>- wykonanie gzymsów ścian oporowych z betonu klasy C30/37 w deskowaniu,</t>
  </si>
  <si>
    <t>1.6.1..</t>
  </si>
  <si>
    <t>- wykonanie dylatacji poprzecznej pozornej gzymsu</t>
  </si>
  <si>
    <t>- umocnienie skarp prefabrykowanymi elementami betonowymi na podsypce cementowo-piaskowej</t>
  </si>
  <si>
    <t>1.12.1.3.</t>
  </si>
  <si>
    <t>PRZEDMIAR ROBÓT 
Wiadukt drogowy w km 178+013,80 (ist.178+108) LK201 - roboty zabezpieczające</t>
  </si>
  <si>
    <t>- montaż kotew wklejanych</t>
  </si>
  <si>
    <t>1.5.1.2.</t>
  </si>
  <si>
    <t>- wykonanie ław fundamentowych - ławy z betonu klasy C35/45 w deskowaniu</t>
  </si>
  <si>
    <t>- wykonanie i montaż konstrukcji podtrzymującej osłony przeciwporażeniowe,</t>
  </si>
  <si>
    <t>- pokrywanie powłokami malarskimi bramownic</t>
  </si>
  <si>
    <t>- pokrywanie powłokami malarskimi konstrukcji z blach falistych</t>
  </si>
  <si>
    <t>1.6.3..</t>
  </si>
  <si>
    <t>- wykonanie metalizacji bramownic,</t>
  </si>
  <si>
    <t xml:space="preserve">- wykonanie izolacji powierzchni betonu </t>
  </si>
  <si>
    <t>- wykonanie dylatacji poprzecznej płyty podtorowej</t>
  </si>
  <si>
    <t>- wykonanie umocnienia gruntu za ścianami przed rozmywaniem brukiem kamiennym na zaprawie cementowej i podsypce piaskowej gr. 5 cm</t>
  </si>
  <si>
    <t>1.12.4..</t>
  </si>
  <si>
    <t>ROBOTY BUDOWLANE W ZAKRESIE WZNOSZENIA KOMPLEKSOWYCH OBIEKTÓW BUDOWLANYCH LUB ICH CZĘŚCI ORAZ ROBOTY W ZAKRESIE INŻYNIERII LĄDOWEJ I WODNEJ</t>
  </si>
  <si>
    <t>PRZEDMIAR ROBÓT
Wiadukt drogowy w km 181+999,20 (ist.182+090) LK201 - roboty zabezpieczające</t>
  </si>
  <si>
    <t>1.3.5.</t>
  </si>
  <si>
    <t>1.3.5.1.</t>
  </si>
  <si>
    <t>- wzmocnienie podłoża gruntowego fundamentów metoda iniekcji niskociśnieniowej</t>
  </si>
  <si>
    <t>- wykonanie i montaż blach osłonowych w linii gzymsów,</t>
  </si>
  <si>
    <r>
      <t>- pokrywanie powłokami malarskimi powierzchni ścian oporowych z grodzic stalowych</t>
    </r>
    <r>
      <rPr>
        <sz val="9"/>
        <color rgb="FFFF0000"/>
        <rFont val="Arial"/>
        <family val="2"/>
        <charset val="238"/>
      </rPr>
      <t xml:space="preserve"> i rur palisady</t>
    </r>
    <r>
      <rPr>
        <sz val="9"/>
        <rFont val="Arial"/>
        <family val="2"/>
        <charset val="238"/>
      </rPr>
      <t xml:space="preserve"> od strony widocznej</t>
    </r>
  </si>
  <si>
    <r>
      <t>Rury i elementy o przekroju f 50</t>
    </r>
    <r>
      <rPr>
        <sz val="9"/>
        <rFont val="Czcionka tekstu podstawowego"/>
        <charset val="238"/>
      </rPr>
      <t>÷8</t>
    </r>
    <r>
      <rPr>
        <sz val="9"/>
        <rFont val="Arial"/>
        <family val="2"/>
        <charset val="238"/>
      </rPr>
      <t>00 mm</t>
    </r>
  </si>
  <si>
    <t>- montaż balustrady na skrzydłach przyczółków i ścianach oporowych za pomocą kotew wklejanych</t>
  </si>
  <si>
    <t>1.12.6..</t>
  </si>
  <si>
    <t>PRZEDMIAR ROBÓT 
Wiadukt drogowy w km 183+171,64 (ist.183+263) LK201 - roboty zabezpieczające</t>
  </si>
  <si>
    <t>Zabezpieczenia ścian oporowych i nasypów</t>
  </si>
  <si>
    <t>- wykonanie i ustawienie gabionów</t>
  </si>
  <si>
    <t>- wzmocnienie podłoża gruntowego fundamentów metodą iniekcji niskociśnieniowej</t>
  </si>
  <si>
    <t>m3</t>
  </si>
  <si>
    <t>- wykonanie przepustu prefabrykowanego - kolektora fi 1,0m</t>
  </si>
  <si>
    <t>- wykonanie i montaż konstrukcji bramownic (kształtowniki walcowane rygiel - HEA260, słupki RH 250x8) ze stali S355J2 (montaż do ścian oporowych za pomocą kotew wklejanych),</t>
  </si>
  <si>
    <t>1.6.0.2.</t>
  </si>
  <si>
    <r>
      <t>Rury i elementy o przekroju f 50</t>
    </r>
    <r>
      <rPr>
        <sz val="9"/>
        <rFont val="Czcionka tekstu podstawowego"/>
        <charset val="238"/>
      </rPr>
      <t>÷6</t>
    </r>
    <r>
      <rPr>
        <sz val="9"/>
        <rFont val="Arial"/>
        <family val="2"/>
        <charset val="238"/>
      </rPr>
      <t>00 mm</t>
    </r>
  </si>
  <si>
    <t>- umocnienie skarp nasypu pod obiektem materacami gabionowymi</t>
  </si>
  <si>
    <t xml:space="preserve">Odcinek C – Roboty budowlane na linii kolejowej nr 201 odc. Gdańsk Osowa - Gdynia Główna realizowane 
w ramach projektu „Prace na alternatywnym ciągu transportowym Bydgoszcz – Trójmiasto”
Odcinek C1 od km 187,045 do km 191,629   </t>
  </si>
  <si>
    <t>PRZEDMIAR ROBÓT
Wiadukt kolejowy w km 189+400,75 (ist.189+501) LK201</t>
  </si>
  <si>
    <t>- fundament pod słup trakcyjny</t>
  </si>
  <si>
    <t>- wykonanie fundamentu pod barierę ochronną z betonu klasy C30/37 w deskowaniu</t>
  </si>
  <si>
    <t>- wykonanie i montaż zakotwień słupów bramek trakcyjnych,</t>
  </si>
  <si>
    <t>- montaż studni kanalizacyjnej z PCC lub PP średnicy DN 1000 mm w linii odwodnienia i drenażu</t>
  </si>
  <si>
    <t>Poręcze na kolejowych</t>
  </si>
  <si>
    <t>- wykonanie ścieku skarpowego z prefabrykatów betonowych korytkowych na podsypce cementowo - piaskowej gr. min. 15 cm</t>
  </si>
  <si>
    <t>- wykonanie umocnienia wylotów ścieku oraz dojść do schodów służbowych - bruk kamienny gr. 13-16 cm</t>
  </si>
  <si>
    <t>- instalacja rur osłonowych kabli oświetleniowych</t>
  </si>
  <si>
    <t>KOSZTORYS UPROSZCZONY
Zeszyt 2 – Most kolejowy MK-01 w km 190+307 LK 201 (istn. km 190+411)</t>
  </si>
  <si>
    <t>L.p.</t>
  </si>
  <si>
    <t>Kod pozycji
przedmiaru</t>
  </si>
  <si>
    <t>Nr STWiORB</t>
  </si>
  <si>
    <t xml:space="preserve">Nazwa i opis </t>
  </si>
  <si>
    <t>Cena jedn. [zł]</t>
  </si>
  <si>
    <t>Wartość netto [zł]</t>
  </si>
  <si>
    <t>1</t>
  </si>
  <si>
    <t>2</t>
  </si>
  <si>
    <t>CPV 45110000-8</t>
  </si>
  <si>
    <t xml:space="preserve">ZBROJENIE </t>
  </si>
  <si>
    <t>3</t>
  </si>
  <si>
    <t>CPV 45221000-2</t>
  </si>
  <si>
    <t>3.1</t>
  </si>
  <si>
    <t>Zbrojenie betonu stalą klasy A-IIIN w gatunku BSt500S lub B500SP</t>
  </si>
  <si>
    <t>3.1.1</t>
  </si>
  <si>
    <t>01.01.69.01</t>
  </si>
  <si>
    <t>stal zbrojeniowa B500SP dla konstrukcji wylotu</t>
  </si>
  <si>
    <t>3.1.2</t>
  </si>
  <si>
    <t>stal zbrojeniowa B500SP dla konstrukcji wlotu</t>
  </si>
  <si>
    <t>3.1.3</t>
  </si>
  <si>
    <t xml:space="preserve">zbrojenie siatką betonu natryskowego </t>
  </si>
  <si>
    <t>4</t>
  </si>
  <si>
    <t>4.1</t>
  </si>
  <si>
    <t>Beton ustroju nośnego w deskowaniu</t>
  </si>
  <si>
    <t>4.1.1</t>
  </si>
  <si>
    <t>01.01.13.04</t>
  </si>
  <si>
    <t xml:space="preserve">wykonanie ustroju nośnego z betonu klasy C30/37 w deskowaniu 
</t>
  </si>
  <si>
    <t>4.2</t>
  </si>
  <si>
    <t>ST.06.13.12.</t>
  </si>
  <si>
    <t>Beton natryskowy - torkret</t>
  </si>
  <si>
    <t>4.2.1</t>
  </si>
  <si>
    <t>0810-C</t>
  </si>
  <si>
    <t xml:space="preserve">Wykonanie warstwy nawierzchniej z betonu natryskowego wewnątrz obiektu metodą torkretowania 
</t>
  </si>
  <si>
    <t>4.3</t>
  </si>
  <si>
    <t>ST.06.13.22</t>
  </si>
  <si>
    <t>4.3.1</t>
  </si>
  <si>
    <t>06.02.13.02</t>
  </si>
  <si>
    <t xml:space="preserve">Wykonanie warstwy z betonu wyrównawczego oraz niekonstrukcyjnego
</t>
  </si>
  <si>
    <t>5</t>
  </si>
  <si>
    <t>5.1</t>
  </si>
  <si>
    <t>5.1.1</t>
  </si>
  <si>
    <t>02.01.51.01</t>
  </si>
  <si>
    <t>wykonanie izolacji powierzchni betonu w strefach stykających się z gruntem</t>
  </si>
  <si>
    <t>5.2</t>
  </si>
  <si>
    <t>ST.06.15.02</t>
  </si>
  <si>
    <t>Izolacja powłokowa układana na zimno</t>
  </si>
  <si>
    <t>5.2.1</t>
  </si>
  <si>
    <t>01.01.51.03</t>
  </si>
  <si>
    <t xml:space="preserve"> wykonanie izolacji pionowej i poziomej powierzchni podziemnych betonu - poprzez trzykrotne posmarowanie materiałem powłokowym do izolacji na zimno wraz z zagruntowaniem</t>
  </si>
  <si>
    <t>5.3</t>
  </si>
  <si>
    <t>5.3.1</t>
  </si>
  <si>
    <t>05.02.52.01</t>
  </si>
  <si>
    <t>izolacjo-nawierzchnia z żywic epoksydowo-poliuretanowych o gr. min. 3 mm
6,4x2x0,7+0,3x8,0</t>
  </si>
  <si>
    <t>6</t>
  </si>
  <si>
    <t>6.1</t>
  </si>
  <si>
    <t>Balustrada mostowa stalowa zabezpieczona przez metalizację zanurzeniową o grubości min. 85 mm i powłokę malarską grubości min. 160 mm</t>
  </si>
  <si>
    <t>6.1.1</t>
  </si>
  <si>
    <t xml:space="preserve"> 0702-0200</t>
  </si>
  <si>
    <t xml:space="preserve">o wysokości 1100 mm bez szczeblinek
</t>
  </si>
  <si>
    <t>7</t>
  </si>
  <si>
    <t>7.1</t>
  </si>
  <si>
    <t>ST.06.20.05</t>
  </si>
  <si>
    <t>Umocnienie skarp betonowymi płytami ażurowymi lub poprzez obsianie trawą</t>
  </si>
  <si>
    <t>7.1.1</t>
  </si>
  <si>
    <t>15.01.15.01</t>
  </si>
  <si>
    <t xml:space="preserve">prefabrykowane ażurowe elementy betonowe typu MEBA na podsypce cementowo-piaskowej gr. 10 cm
</t>
  </si>
  <si>
    <t>7.2</t>
  </si>
  <si>
    <t>ST.06.20.08</t>
  </si>
  <si>
    <t>7.2.1</t>
  </si>
  <si>
    <t>20.05.11.01</t>
  </si>
  <si>
    <t xml:space="preserve">zabezpieczenie odkrytych powierzchni betonowych powłokami hydrofobowymi
</t>
  </si>
  <si>
    <t>7.3</t>
  </si>
  <si>
    <t>ST.06.20.09</t>
  </si>
  <si>
    <t>7.3.1</t>
  </si>
  <si>
    <t>10.01.11.01</t>
  </si>
  <si>
    <t xml:space="preserve">schody skarpowe o szer. 0,80 m z balustradą zabezpieczającą
</t>
  </si>
  <si>
    <t>7.4</t>
  </si>
  <si>
    <t>ST.06.20.11</t>
  </si>
  <si>
    <t>Ściek prefabrykowany (skarpowy lub podłużny)</t>
  </si>
  <si>
    <t>7.4.1</t>
  </si>
  <si>
    <t>01.01.61.01</t>
  </si>
  <si>
    <t xml:space="preserve">wykonanie ścieku na skarpie z prefabrykatów korytkowych o długości 0,4m
</t>
  </si>
  <si>
    <t>7.5</t>
  </si>
  <si>
    <t>ST.06.20.41</t>
  </si>
  <si>
    <t xml:space="preserve">Geodezyjne pomiary odkształceń i przemieszczeń obiektu mostowego </t>
  </si>
  <si>
    <t>7.5.1</t>
  </si>
  <si>
    <t>25.01.11.01</t>
  </si>
  <si>
    <t>stałe znaki wysokościowe z trwałego materiału i posadowione na gruncie rodzimym poniżej poziomu przemarzania
1</t>
  </si>
  <si>
    <t>7.5.2</t>
  </si>
  <si>
    <t>umieszczenie znaków wysokościowych (reperów) na elementach nowego obiektu (podpory i ustrój nośny)
6</t>
  </si>
  <si>
    <t>8</t>
  </si>
  <si>
    <t>8.1</t>
  </si>
  <si>
    <t>8.1.1</t>
  </si>
  <si>
    <t>11.01.11.02</t>
  </si>
  <si>
    <t xml:space="preserve">wykonanie napraw powierzchni betonowych zaprawami typu PCC
</t>
  </si>
  <si>
    <t>8.2</t>
  </si>
  <si>
    <t>8.2.1</t>
  </si>
  <si>
    <t xml:space="preserve">   0501-01</t>
  </si>
  <si>
    <t>wykonanie iniekcji rys w elementach betonowych
4,4</t>
  </si>
  <si>
    <t>RAZEM</t>
  </si>
  <si>
    <t>RAZEM:</t>
  </si>
  <si>
    <t>Część 7 – Obiekty inżynieryjne
Odc.B/Zeszyt nr 7.01 - Wiadukt kolejowy WK w km 163+471,24 (ist.163+556) LK201
Odc.B/Zeszyt nr 7.02 - Most kolejowy MK w km 163+574,70 (ist.163+652) LK201 
Odc.B/Zeszyt nr 7.03 - Wiadukt kolejowy WK w km 163+758,45 (ist.163+844) LK201
Odc.B/Zeszyt nr 7.04 - Wiadukt kolejowy WK w km 165+292,78 (ist.165+383) LK201
Odc.B/Zeszyt nr 7.05 - Wiadukt kolejowy WK w km 168+747,75 (ist.168+849) LK201
Odc.B/Zeszyt nr 7.06 - Wiadukt kolejowy WK w km 169+063,62 (ist.169+163) LK201
Odc.B/Zeszyt nr 7.07 - Wiadukt kolejowy WK w km 171+852,37 (ist.171+953) LK201
Odc.B/Zeszyt nr 7.08 - Wiadukt kolejowy WK w km 175+319,85 (ist.175+424) LK201
Odc.B/Zeszyt nr 7.12 - Kładka dla pieszych w km 177+889,01 LK201
Odc.B/Zeszyt nr 7.12 - Wiadukt kolejowy WK w km 180+924,40 (ist.181+028) LK201
Odc.B/Zeszyt nr 7.13 - Przejście dla pieszych pod torami w km 178+961,40 LK201
Odc.B/Zeszyt nr 7.16 - Most kolejowy MK w km 183+790,42 (ist.183+897) LK201
Odc.B/Zeszyt nr 7.17 - Wiadukt kolejowy WK w km 184+134,70 (ist.184+243) LK201
Odc.B/Zeszyt nr 7.18 - Most kolejowy MK w km 184+376,09 (ist.184+483) LK201
Odc.B/Zeszyt nr 7.19a - Wiadukt kolejowy WK w km 185+371,64 (ist.185+478) LK201 - tor nr 1
Odc.B/Zeszyt nr 7.19b - Wiadukt kolejowy WK w km 185+379,67 toru nr 2 (ist.185+478) LK201
Odc.B/Zeszyt nr 7.20 - Most kolejowy MK w km 185+702,55 (ist.185+821) LK201
Odc.B/Zeszyt nr 7.21 - Wiadukt kolejowy WK w km 185+827,60 toru nr 1 LK201
Odc.B/Zeszyt nr 7.22a - Wiadukt kolejowy WK w km 186+458,95 (ist.186+556) LK201 - tor nr 1
Odc.B/Zeszyt nr 7.22b - Wiadukt kolejowy WK w km 186+458,95 (ist.186+556) LK201 - tor nr 1a i nr 2
Odc.B/Zeszyt nr 7.27A - Wiadukt kolejowy WK w km 173+724,52 (ist.173+817) - roboty zabezpieczające
Odc.B/Zeszyt nr 7.27B - Wiadukt drogowy WK w km 178+013,80 (ist.178+108) LK201 - roboty zabezpieczające
Odc.B/Zeszyt nr 7.27C - Wiadukt drogowy WK w km 181+999,20 (ist.182+090) LK201 - roboty zabezpieczające
Odc.B/Zeszyt nr 7.27D - Wiadukt drogowy WK w km 183+171,64 (ist.183+263) LK201 - roboty zabezpieczające
Odc.C/7.01 - Wiadukt kolejowy WK w km 189+400,75 (ist.189+501) LK201
Odc.C/7.02  - Most kolejowy MK-01 w km 190+307 LK 201 (ist.190+411)</t>
  </si>
  <si>
    <t>PRZEDMIAR ROBÓT 
Wiadukt kolejowy w km 185+827,60 toru nr 1 LK201</t>
  </si>
  <si>
    <t>Przepusty prefabrykowane (Materiał po stronie Zamawiającego)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</si>
</sst>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zł&quot;;[Red]\-#,##0.00\ &quot;zł&quot;"/>
    <numFmt numFmtId="164" formatCode="d.00.00.00\."/>
    <numFmt numFmtId="165" formatCode="00\.00\.00\."/>
  </numFmts>
  <fonts count="72">
    <font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9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vertAlign val="superscript"/>
      <sz val="9"/>
      <name val="Arial"/>
      <family val="2"/>
      <charset val="238"/>
    </font>
    <font>
      <b/>
      <sz val="10"/>
      <name val="Arial CE"/>
      <family val="2"/>
      <charset val="238"/>
    </font>
    <font>
      <vertAlign val="superscript"/>
      <sz val="10"/>
      <name val="Times New Roman CE"/>
      <family val="1"/>
      <charset val="238"/>
    </font>
    <font>
      <sz val="9"/>
      <name val="Symbol"/>
      <family val="1"/>
      <charset val="2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sz val="9"/>
      <name val="Czcionka tekstu podstawowego"/>
      <charset val="238"/>
    </font>
    <font>
      <sz val="10"/>
      <name val="Arial"/>
      <family val="2"/>
      <charset val="238"/>
    </font>
    <font>
      <sz val="10"/>
      <name val="Helv"/>
      <charset val="238"/>
    </font>
    <font>
      <sz val="10"/>
      <name val="Helv"/>
    </font>
    <font>
      <sz val="10"/>
      <name val="Pl Courier New"/>
    </font>
    <font>
      <u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rgb="FFFF00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 CE"/>
    </font>
    <font>
      <i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b/>
      <sz val="11"/>
      <color theme="1"/>
      <name val="Arial"/>
      <family val="2"/>
    </font>
    <font>
      <u/>
      <sz val="9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11"/>
      <color theme="1"/>
      <name val="Arial"/>
      <family val="2"/>
      <charset val="238"/>
    </font>
    <font>
      <b/>
      <sz val="12"/>
      <color rgb="FF000000"/>
      <name val="Calibri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10"/>
      <color indexed="64"/>
      <name val="Arial"/>
      <family val="2"/>
      <charset val="238"/>
    </font>
    <font>
      <sz val="9"/>
      <color rgb="FF0070C0"/>
      <name val="Arial"/>
      <family val="2"/>
      <charset val="238"/>
    </font>
    <font>
      <sz val="7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10"/>
      <color indexed="64"/>
      <name val="Arial"/>
      <family val="2"/>
    </font>
    <font>
      <sz val="10"/>
      <color indexed="8"/>
      <name val="Microsoft Sans Serif"/>
      <family val="2"/>
      <charset val="238"/>
    </font>
    <font>
      <sz val="9"/>
      <color indexed="64"/>
      <name val="Arial"/>
      <family val="2"/>
      <charset val="238"/>
    </font>
    <font>
      <b/>
      <sz val="9"/>
      <color indexed="8"/>
      <name val="Arial"/>
      <family val="2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 Narrow CE"/>
      <charset val="238"/>
    </font>
    <font>
      <sz val="8"/>
      <color indexed="8"/>
      <name val="Arial"/>
      <family val="2"/>
      <charset val="238"/>
    </font>
    <font>
      <i/>
      <sz val="9"/>
      <name val="Arial"/>
      <family val="2"/>
      <charset val="238"/>
    </font>
    <font>
      <sz val="9"/>
      <name val="Arial Narrow CE"/>
      <charset val="238"/>
    </font>
    <font>
      <b/>
      <sz val="15"/>
      <color indexed="8"/>
      <name val="Arial"/>
      <family val="2"/>
      <charset val="238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theme="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23"/>
        <bgColor indexed="55"/>
      </patternFill>
    </fill>
    <fill>
      <patternFill patternType="solid">
        <fgColor indexed="55"/>
        <bgColor indexed="23"/>
      </patternFill>
    </fill>
    <fill>
      <patternFill patternType="solid">
        <fgColor rgb="FFFFC000"/>
        <bgColor indexed="23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BFBFBF"/>
        <bgColor indexed="23"/>
      </patternFill>
    </fill>
    <fill>
      <patternFill patternType="solid">
        <fgColor rgb="FFD9D9D9"/>
        <bgColor indexed="64"/>
      </patternFill>
    </fill>
    <fill>
      <patternFill patternType="solid">
        <fgColor rgb="FFD9D9D9"/>
        <bgColor indexed="23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65">
    <xf numFmtId="0" fontId="0" fillId="0" borderId="0"/>
    <xf numFmtId="0" fontId="21" fillId="0" borderId="0"/>
    <xf numFmtId="0" fontId="22" fillId="0" borderId="0"/>
    <xf numFmtId="0" fontId="23" fillId="0" borderId="0" applyNumberFormat="0" applyFont="0" applyFill="0" applyBorder="0" applyAlignment="0" applyProtection="0"/>
    <xf numFmtId="0" fontId="21" fillId="0" borderId="0"/>
    <xf numFmtId="0" fontId="1" fillId="0" borderId="0"/>
    <xf numFmtId="0" fontId="12" fillId="0" borderId="0"/>
    <xf numFmtId="0" fontId="25" fillId="0" borderId="0"/>
    <xf numFmtId="0" fontId="9" fillId="0" borderId="0"/>
    <xf numFmtId="0" fontId="9" fillId="0" borderId="0"/>
    <xf numFmtId="0" fontId="9" fillId="0" borderId="0"/>
    <xf numFmtId="0" fontId="20" fillId="0" borderId="0"/>
    <xf numFmtId="0" fontId="17" fillId="0" borderId="0"/>
    <xf numFmtId="0" fontId="9" fillId="0" borderId="0"/>
    <xf numFmtId="0" fontId="9" fillId="0" borderId="0"/>
    <xf numFmtId="0" fontId="1" fillId="0" borderId="0" applyNumberFormat="0" applyFill="0" applyBorder="0" applyAlignment="0" applyProtection="0"/>
    <xf numFmtId="0" fontId="20" fillId="0" borderId="0"/>
    <xf numFmtId="0" fontId="9" fillId="0" borderId="0"/>
    <xf numFmtId="0" fontId="25" fillId="0" borderId="0"/>
    <xf numFmtId="0" fontId="25" fillId="0" borderId="0"/>
    <xf numFmtId="0" fontId="2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2" fillId="0" borderId="0"/>
    <xf numFmtId="0" fontId="9" fillId="0" borderId="0"/>
    <xf numFmtId="0" fontId="9" fillId="0" borderId="0"/>
    <xf numFmtId="0" fontId="9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23" fillId="0" borderId="1" applyNumberFormat="0" applyFont="0" applyFill="0" applyBorder="0" applyProtection="0">
      <alignment vertical="top" wrapText="1"/>
    </xf>
    <xf numFmtId="9" fontId="20" fillId="0" borderId="0" applyFill="0" applyBorder="0" applyAlignment="0" applyProtection="0"/>
    <xf numFmtId="0" fontId="21" fillId="0" borderId="0"/>
    <xf numFmtId="0" fontId="12" fillId="2" borderId="2" applyNumberFormat="0" applyFont="0" applyAlignment="0" applyProtection="0"/>
    <xf numFmtId="0" fontId="9" fillId="2" borderId="2" applyNumberFormat="0" applyFont="0" applyAlignment="0" applyProtection="0"/>
    <xf numFmtId="0" fontId="9" fillId="2" borderId="2" applyNumberFormat="0" applyFont="0" applyAlignment="0" applyProtection="0"/>
    <xf numFmtId="0" fontId="1" fillId="0" borderId="0"/>
    <xf numFmtId="0" fontId="35" fillId="0" borderId="0"/>
    <xf numFmtId="0" fontId="35" fillId="0" borderId="0"/>
  </cellStyleXfs>
  <cellXfs count="587">
    <xf numFmtId="0" fontId="0" fillId="0" borderId="0" xfId="0"/>
    <xf numFmtId="49" fontId="3" fillId="3" borderId="3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 vertical="top"/>
    </xf>
    <xf numFmtId="49" fontId="28" fillId="4" borderId="3" xfId="0" applyNumberFormat="1" applyFont="1" applyFill="1" applyBorder="1" applyAlignment="1">
      <alignment vertical="center" wrapText="1"/>
    </xf>
    <xf numFmtId="0" fontId="18" fillId="0" borderId="3" xfId="0" applyFont="1" applyBorder="1" applyAlignment="1">
      <alignment wrapText="1"/>
    </xf>
    <xf numFmtId="0" fontId="2" fillId="0" borderId="0" xfId="0" applyFont="1"/>
    <xf numFmtId="49" fontId="30" fillId="4" borderId="3" xfId="0" applyNumberFormat="1" applyFont="1" applyFill="1" applyBorder="1" applyAlignment="1">
      <alignment vertical="center" wrapText="1"/>
    </xf>
    <xf numFmtId="4" fontId="8" fillId="0" borderId="3" xfId="0" applyNumberFormat="1" applyFont="1" applyBorder="1" applyAlignment="1">
      <alignment wrapText="1"/>
    </xf>
    <xf numFmtId="49" fontId="6" fillId="0" borderId="6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11" fillId="0" borderId="3" xfId="54" applyFont="1" applyBorder="1" applyAlignment="1">
      <alignment horizontal="center" vertical="center" wrapText="1"/>
    </xf>
    <xf numFmtId="0" fontId="5" fillId="0" borderId="13" xfId="0" applyFont="1" applyBorder="1" applyAlignment="1">
      <alignment horizontal="right" vertical="center" wrapText="1"/>
    </xf>
    <xf numFmtId="0" fontId="1" fillId="0" borderId="8" xfId="62" applyBorder="1"/>
    <xf numFmtId="0" fontId="1" fillId="0" borderId="0" xfId="62"/>
    <xf numFmtId="0" fontId="1" fillId="0" borderId="4" xfId="62" applyBorder="1"/>
    <xf numFmtId="0" fontId="1" fillId="0" borderId="4" xfId="62" applyBorder="1" applyAlignment="1">
      <alignment horizontal="center"/>
    </xf>
    <xf numFmtId="0" fontId="41" fillId="0" borderId="0" xfId="62" applyFont="1"/>
    <xf numFmtId="0" fontId="41" fillId="0" borderId="0" xfId="62" applyFont="1" applyAlignment="1">
      <alignment horizontal="center" vertical="center"/>
    </xf>
    <xf numFmtId="0" fontId="43" fillId="0" borderId="13" xfId="62" applyFont="1" applyBorder="1" applyAlignment="1">
      <alignment vertical="top" wrapText="1" readingOrder="1"/>
    </xf>
    <xf numFmtId="0" fontId="0" fillId="0" borderId="0" xfId="62" applyFont="1"/>
    <xf numFmtId="2" fontId="5" fillId="0" borderId="0" xfId="0" applyNumberFormat="1" applyFont="1" applyAlignment="1">
      <alignment horizontal="right" wrapText="1"/>
    </xf>
    <xf numFmtId="4" fontId="5" fillId="0" borderId="3" xfId="15" applyNumberFormat="1" applyFont="1" applyFill="1" applyBorder="1" applyAlignment="1" applyProtection="1">
      <alignment horizontal="center" vertical="center"/>
    </xf>
    <xf numFmtId="0" fontId="4" fillId="0" borderId="11" xfId="0" applyFont="1" applyBorder="1" applyAlignment="1">
      <alignment vertical="center" wrapText="1"/>
    </xf>
    <xf numFmtId="49" fontId="30" fillId="5" borderId="3" xfId="0" applyNumberFormat="1" applyFont="1" applyFill="1" applyBorder="1" applyAlignment="1">
      <alignment vertical="center" wrapText="1"/>
    </xf>
    <xf numFmtId="0" fontId="2" fillId="6" borderId="0" xfId="0" applyFont="1" applyFill="1"/>
    <xf numFmtId="49" fontId="28" fillId="5" borderId="3" xfId="0" applyNumberFormat="1" applyFont="1" applyFill="1" applyBorder="1" applyAlignment="1">
      <alignment vertical="center" wrapText="1"/>
    </xf>
    <xf numFmtId="0" fontId="31" fillId="6" borderId="0" xfId="0" applyFont="1" applyFill="1"/>
    <xf numFmtId="0" fontId="10" fillId="0" borderId="11" xfId="15" applyNumberFormat="1" applyFont="1" applyFill="1" applyBorder="1" applyAlignment="1" applyProtection="1">
      <alignment vertical="center" wrapText="1"/>
    </xf>
    <xf numFmtId="0" fontId="10" fillId="0" borderId="13" xfId="15" applyNumberFormat="1" applyFont="1" applyFill="1" applyBorder="1" applyAlignment="1" applyProtection="1">
      <alignment vertical="center" wrapText="1"/>
    </xf>
    <xf numFmtId="4" fontId="7" fillId="0" borderId="13" xfId="15" applyNumberFormat="1" applyFont="1" applyFill="1" applyBorder="1" applyAlignment="1" applyProtection="1">
      <alignment vertical="center" wrapText="1"/>
    </xf>
    <xf numFmtId="4" fontId="4" fillId="0" borderId="3" xfId="15" applyNumberFormat="1" applyFont="1" applyFill="1" applyBorder="1" applyAlignment="1" applyProtection="1">
      <alignment horizontal="center" vertical="center"/>
    </xf>
    <xf numFmtId="4" fontId="10" fillId="0" borderId="3" xfId="52" applyNumberFormat="1" applyFont="1" applyBorder="1" applyAlignment="1">
      <alignment horizontal="center" vertical="center"/>
    </xf>
    <xf numFmtId="0" fontId="10" fillId="0" borderId="10" xfId="15" applyNumberFormat="1" applyFont="1" applyFill="1" applyBorder="1" applyAlignment="1" applyProtection="1">
      <alignment vertical="center" wrapText="1"/>
    </xf>
    <xf numFmtId="4" fontId="10" fillId="0" borderId="13" xfId="15" applyNumberFormat="1" applyFont="1" applyFill="1" applyBorder="1" applyAlignment="1" applyProtection="1">
      <alignment vertical="center" wrapText="1"/>
    </xf>
    <xf numFmtId="3" fontId="10" fillId="0" borderId="13" xfId="15" applyNumberFormat="1" applyFont="1" applyFill="1" applyBorder="1" applyAlignment="1" applyProtection="1">
      <alignment horizontal="right" vertical="center"/>
    </xf>
    <xf numFmtId="4" fontId="7" fillId="0" borderId="13" xfId="15" applyNumberFormat="1" applyFont="1" applyFill="1" applyBorder="1" applyAlignment="1" applyProtection="1">
      <alignment horizontal="center" vertical="center" wrapText="1"/>
    </xf>
    <xf numFmtId="3" fontId="10" fillId="0" borderId="3" xfId="15" applyNumberFormat="1" applyFont="1" applyFill="1" applyBorder="1" applyAlignment="1" applyProtection="1">
      <alignment vertical="center"/>
    </xf>
    <xf numFmtId="3" fontId="10" fillId="0" borderId="13" xfId="15" applyNumberFormat="1" applyFont="1" applyFill="1" applyBorder="1" applyAlignment="1" applyProtection="1">
      <alignment vertical="center" wrapText="1"/>
    </xf>
    <xf numFmtId="4" fontId="10" fillId="0" borderId="3" xfId="0" applyNumberFormat="1" applyFont="1" applyBorder="1" applyAlignment="1">
      <alignment horizontal="center" vertical="center"/>
    </xf>
    <xf numFmtId="4" fontId="5" fillId="0" borderId="3" xfId="15" applyNumberFormat="1" applyFont="1" applyFill="1" applyBorder="1" applyAlignment="1" applyProtection="1">
      <alignment vertical="center"/>
    </xf>
    <xf numFmtId="3" fontId="10" fillId="0" borderId="13" xfId="15" applyNumberFormat="1" applyFont="1" applyFill="1" applyBorder="1" applyAlignment="1" applyProtection="1">
      <alignment horizontal="right" vertical="center" wrapText="1"/>
    </xf>
    <xf numFmtId="4" fontId="10" fillId="0" borderId="13" xfId="15" applyNumberFormat="1" applyFont="1" applyFill="1" applyBorder="1" applyAlignment="1" applyProtection="1">
      <alignment horizontal="center" vertical="center" wrapText="1"/>
    </xf>
    <xf numFmtId="3" fontId="4" fillId="0" borderId="13" xfId="15" applyNumberFormat="1" applyFont="1" applyFill="1" applyBorder="1" applyAlignment="1" applyProtection="1">
      <alignment horizontal="right" vertical="center"/>
    </xf>
    <xf numFmtId="3" fontId="4" fillId="0" borderId="3" xfId="15" applyNumberFormat="1" applyFont="1" applyFill="1" applyBorder="1" applyAlignment="1" applyProtection="1">
      <alignment vertical="center"/>
    </xf>
    <xf numFmtId="4" fontId="10" fillId="0" borderId="11" xfId="15" applyNumberFormat="1" applyFont="1" applyFill="1" applyBorder="1" applyAlignment="1" applyProtection="1">
      <alignment vertical="center" wrapText="1"/>
    </xf>
    <xf numFmtId="4" fontId="2" fillId="0" borderId="3" xfId="15" applyNumberFormat="1" applyFont="1" applyFill="1" applyBorder="1" applyAlignment="1" applyProtection="1">
      <alignment horizontal="center" vertical="center"/>
    </xf>
    <xf numFmtId="4" fontId="0" fillId="0" borderId="3" xfId="15" applyNumberFormat="1" applyFont="1" applyFill="1" applyBorder="1" applyAlignment="1" applyProtection="1">
      <alignment horizontal="center" vertical="center"/>
    </xf>
    <xf numFmtId="2" fontId="0" fillId="0" borderId="0" xfId="0" applyNumberFormat="1"/>
    <xf numFmtId="2" fontId="2" fillId="0" borderId="0" xfId="0" applyNumberFormat="1" applyFont="1"/>
    <xf numFmtId="2" fontId="2" fillId="6" borderId="0" xfId="0" applyNumberFormat="1" applyFont="1" applyFill="1"/>
    <xf numFmtId="2" fontId="2" fillId="0" borderId="0" xfId="0" applyNumberFormat="1" applyFont="1" applyAlignment="1">
      <alignment horizontal="center"/>
    </xf>
    <xf numFmtId="4" fontId="66" fillId="0" borderId="0" xfId="0" applyNumberFormat="1" applyFont="1"/>
    <xf numFmtId="0" fontId="66" fillId="0" borderId="0" xfId="0" applyFont="1"/>
    <xf numFmtId="164" fontId="10" fillId="0" borderId="3" xfId="55" applyNumberFormat="1" applyFont="1" applyBorder="1" applyAlignment="1">
      <alignment horizontal="center" vertical="center"/>
    </xf>
    <xf numFmtId="164" fontId="10" fillId="0" borderId="10" xfId="55" applyNumberFormat="1" applyFont="1" applyBorder="1" applyAlignment="1">
      <alignment horizontal="center" vertical="center"/>
    </xf>
    <xf numFmtId="0" fontId="5" fillId="0" borderId="10" xfId="15" applyNumberFormat="1" applyFont="1" applyFill="1" applyBorder="1" applyAlignment="1" applyProtection="1">
      <alignment vertical="center"/>
    </xf>
    <xf numFmtId="0" fontId="5" fillId="0" borderId="11" xfId="15" applyNumberFormat="1" applyFont="1" applyFill="1" applyBorder="1" applyAlignment="1" applyProtection="1">
      <alignment vertical="center"/>
    </xf>
    <xf numFmtId="0" fontId="11" fillId="0" borderId="12" xfId="46" applyFont="1" applyBorder="1" applyAlignment="1">
      <alignment horizontal="center" vertical="center" wrapText="1"/>
    </xf>
    <xf numFmtId="0" fontId="11" fillId="0" borderId="3" xfId="46" applyFont="1" applyBorder="1" applyAlignment="1">
      <alignment horizontal="left" vertical="center" wrapText="1"/>
    </xf>
    <xf numFmtId="0" fontId="11" fillId="0" borderId="3" xfId="46" applyFont="1" applyBorder="1" applyAlignment="1">
      <alignment horizontal="center" vertical="center" wrapText="1"/>
    </xf>
    <xf numFmtId="3" fontId="11" fillId="0" borderId="3" xfId="46" applyNumberFormat="1" applyFont="1" applyBorder="1" applyAlignment="1">
      <alignment horizontal="center" vertical="center" wrapText="1"/>
    </xf>
    <xf numFmtId="4" fontId="20" fillId="0" borderId="3" xfId="46" applyNumberFormat="1" applyFont="1" applyBorder="1" applyAlignment="1">
      <alignment horizontal="center" vertical="center" wrapText="1"/>
    </xf>
    <xf numFmtId="4" fontId="20" fillId="0" borderId="3" xfId="52" applyNumberFormat="1" applyFont="1" applyBorder="1" applyAlignment="1">
      <alignment horizontal="center" vertical="center"/>
    </xf>
    <xf numFmtId="0" fontId="11" fillId="0" borderId="14" xfId="46" applyFont="1" applyBorder="1" applyAlignment="1">
      <alignment horizontal="center" vertical="center" wrapText="1"/>
    </xf>
    <xf numFmtId="0" fontId="11" fillId="0" borderId="3" xfId="46" quotePrefix="1" applyFont="1" applyBorder="1" applyAlignment="1">
      <alignment horizontal="left" vertical="center" wrapText="1"/>
    </xf>
    <xf numFmtId="4" fontId="11" fillId="0" borderId="3" xfId="15" applyNumberFormat="1" applyFont="1" applyFill="1" applyBorder="1" applyAlignment="1" applyProtection="1">
      <alignment vertical="center"/>
    </xf>
    <xf numFmtId="4" fontId="47" fillId="0" borderId="20" xfId="0" applyNumberFormat="1" applyFont="1" applyBorder="1" applyAlignment="1">
      <alignment horizontal="center" vertical="center" wrapText="1"/>
    </xf>
    <xf numFmtId="4" fontId="0" fillId="0" borderId="19" xfId="0" applyNumberFormat="1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1" xfId="0" applyBorder="1" applyAlignment="1">
      <alignment vertical="center"/>
    </xf>
    <xf numFmtId="0" fontId="10" fillId="0" borderId="10" xfId="0" applyFont="1" applyBorder="1" applyAlignment="1">
      <alignment vertical="center" wrapText="1"/>
    </xf>
    <xf numFmtId="165" fontId="11" fillId="0" borderId="12" xfId="10" applyNumberFormat="1" applyFont="1" applyBorder="1" applyAlignment="1">
      <alignment horizontal="center" vertical="center"/>
    </xf>
    <xf numFmtId="165" fontId="11" fillId="0" borderId="9" xfId="10" applyNumberFormat="1" applyFont="1" applyBorder="1" applyAlignment="1">
      <alignment horizontal="center" vertical="center"/>
    </xf>
    <xf numFmtId="49" fontId="11" fillId="0" borderId="13" xfId="46" applyNumberFormat="1" applyFont="1" applyBorder="1" applyAlignment="1">
      <alignment horizontal="left" vertical="center" wrapText="1"/>
    </xf>
    <xf numFmtId="0" fontId="27" fillId="0" borderId="14" xfId="46" applyFont="1" applyBorder="1" applyAlignment="1">
      <alignment horizontal="center" vertical="center" wrapText="1"/>
    </xf>
    <xf numFmtId="0" fontId="27" fillId="0" borderId="16" xfId="46" applyFont="1" applyBorder="1" applyAlignment="1">
      <alignment horizontal="center" vertical="center" wrapText="1"/>
    </xf>
    <xf numFmtId="49" fontId="11" fillId="0" borderId="13" xfId="46" quotePrefix="1" applyNumberFormat="1" applyFont="1" applyBorder="1" applyAlignment="1">
      <alignment horizontal="left" vertical="center" wrapText="1"/>
    </xf>
    <xf numFmtId="0" fontId="11" fillId="0" borderId="13" xfId="46" quotePrefix="1" applyFont="1" applyBorder="1" applyAlignment="1">
      <alignment horizontal="left" vertical="center" wrapText="1"/>
    </xf>
    <xf numFmtId="0" fontId="11" fillId="0" borderId="3" xfId="46" applyFont="1" applyBorder="1" applyAlignment="1">
      <alignment horizontal="center" vertical="center"/>
    </xf>
    <xf numFmtId="0" fontId="11" fillId="0" borderId="16" xfId="46" applyFont="1" applyBorder="1" applyAlignment="1">
      <alignment horizontal="center" vertical="center" wrapText="1"/>
    </xf>
    <xf numFmtId="0" fontId="11" fillId="0" borderId="15" xfId="46" applyFont="1" applyBorder="1" applyAlignment="1">
      <alignment horizontal="center" vertical="center" wrapText="1"/>
    </xf>
    <xf numFmtId="0" fontId="11" fillId="0" borderId="7" xfId="46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4" fontId="11" fillId="0" borderId="3" xfId="15" applyNumberFormat="1" applyFont="1" applyFill="1" applyBorder="1" applyAlignment="1" applyProtection="1">
      <alignment vertical="center"/>
      <protection locked="0"/>
    </xf>
    <xf numFmtId="0" fontId="4" fillId="0" borderId="13" xfId="0" applyFont="1" applyBorder="1" applyAlignment="1">
      <alignment horizontal="right" vertical="center" wrapText="1"/>
    </xf>
    <xf numFmtId="165" fontId="11" fillId="0" borderId="15" xfId="46" applyNumberFormat="1" applyFont="1" applyBorder="1" applyAlignment="1">
      <alignment horizontal="center" vertical="center"/>
    </xf>
    <xf numFmtId="165" fontId="11" fillId="0" borderId="7" xfId="46" applyNumberFormat="1" applyFont="1" applyBorder="1" applyAlignment="1">
      <alignment horizontal="center" vertical="center"/>
    </xf>
    <xf numFmtId="49" fontId="11" fillId="0" borderId="3" xfId="46" applyNumberFormat="1" applyFont="1" applyBorder="1" applyAlignment="1">
      <alignment vertical="center" wrapText="1"/>
    </xf>
    <xf numFmtId="165" fontId="11" fillId="0" borderId="14" xfId="10" applyNumberFormat="1" applyFont="1" applyBorder="1" applyAlignment="1">
      <alignment horizontal="center" vertical="center"/>
    </xf>
    <xf numFmtId="49" fontId="11" fillId="0" borderId="3" xfId="46" quotePrefix="1" applyNumberFormat="1" applyFont="1" applyBorder="1" applyAlignment="1">
      <alignment vertical="center" wrapText="1"/>
    </xf>
    <xf numFmtId="4" fontId="11" fillId="0" borderId="3" xfId="46" applyNumberFormat="1" applyFont="1" applyBorder="1" applyAlignment="1">
      <alignment horizontal="right" vertical="center" wrapText="1"/>
    </xf>
    <xf numFmtId="0" fontId="27" fillId="0" borderId="3" xfId="46" applyFont="1" applyBorder="1" applyAlignment="1">
      <alignment horizontal="center" vertical="center" wrapText="1"/>
    </xf>
    <xf numFmtId="0" fontId="11" fillId="0" borderId="13" xfId="46" applyFont="1" applyBorder="1" applyAlignment="1">
      <alignment horizontal="center" vertical="center" wrapText="1"/>
    </xf>
    <xf numFmtId="1" fontId="10" fillId="0" borderId="3" xfId="46" applyNumberFormat="1" applyFont="1" applyBorder="1" applyAlignment="1">
      <alignment horizontal="right" vertical="center"/>
    </xf>
    <xf numFmtId="49" fontId="11" fillId="0" borderId="13" xfId="46" applyNumberFormat="1" applyFont="1" applyBorder="1" applyAlignment="1">
      <alignment vertical="center" wrapText="1"/>
    </xf>
    <xf numFmtId="165" fontId="11" fillId="0" borderId="14" xfId="46" applyNumberFormat="1" applyFont="1" applyBorder="1" applyAlignment="1">
      <alignment horizontal="center" vertical="center"/>
    </xf>
    <xf numFmtId="165" fontId="11" fillId="0" borderId="16" xfId="46" applyNumberFormat="1" applyFont="1" applyBorder="1" applyAlignment="1">
      <alignment horizontal="center" vertical="center"/>
    </xf>
    <xf numFmtId="49" fontId="11" fillId="0" borderId="13" xfId="46" quotePrefix="1" applyNumberFormat="1" applyFont="1" applyBorder="1" applyAlignment="1">
      <alignment vertical="center" wrapText="1"/>
    </xf>
    <xf numFmtId="0" fontId="29" fillId="0" borderId="15" xfId="0" applyFont="1" applyBorder="1" applyAlignment="1">
      <alignment vertical="center"/>
    </xf>
    <xf numFmtId="0" fontId="29" fillId="0" borderId="7" xfId="0" applyFont="1" applyBorder="1" applyAlignment="1">
      <alignment vertical="center"/>
    </xf>
    <xf numFmtId="0" fontId="29" fillId="0" borderId="14" xfId="0" applyFont="1" applyBorder="1" applyAlignment="1">
      <alignment vertical="center"/>
    </xf>
    <xf numFmtId="0" fontId="29" fillId="0" borderId="16" xfId="0" applyFont="1" applyBorder="1" applyAlignment="1">
      <alignment vertical="center"/>
    </xf>
    <xf numFmtId="0" fontId="10" fillId="0" borderId="13" xfId="15" applyNumberFormat="1" applyFont="1" applyFill="1" applyBorder="1" applyAlignment="1" applyProtection="1">
      <alignment horizontal="right" vertical="center" wrapText="1"/>
    </xf>
    <xf numFmtId="0" fontId="29" fillId="0" borderId="4" xfId="0" applyFont="1" applyBorder="1" applyAlignment="1">
      <alignment vertical="center"/>
    </xf>
    <xf numFmtId="4" fontId="11" fillId="0" borderId="3" xfId="15" applyNumberFormat="1" applyFont="1" applyFill="1" applyBorder="1" applyAlignment="1" applyProtection="1">
      <alignment horizontal="center" vertical="center"/>
    </xf>
    <xf numFmtId="0" fontId="29" fillId="0" borderId="5" xfId="0" applyFont="1" applyBorder="1" applyAlignment="1">
      <alignment vertical="center"/>
    </xf>
    <xf numFmtId="0" fontId="11" fillId="0" borderId="15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0" borderId="15" xfId="46" applyNumberFormat="1" applyFont="1" applyBorder="1" applyAlignment="1">
      <alignment vertical="center" wrapText="1"/>
    </xf>
    <xf numFmtId="0" fontId="10" fillId="0" borderId="13" xfId="0" applyFont="1" applyBorder="1" applyAlignment="1">
      <alignment horizontal="right" vertical="center" wrapText="1"/>
    </xf>
    <xf numFmtId="4" fontId="20" fillId="0" borderId="13" xfId="0" applyNumberFormat="1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vertical="center"/>
    </xf>
    <xf numFmtId="0" fontId="11" fillId="0" borderId="3" xfId="49" quotePrefix="1" applyFont="1" applyBorder="1" applyAlignment="1">
      <alignment horizontal="left" vertical="center" wrapText="1"/>
    </xf>
    <xf numFmtId="3" fontId="11" fillId="0" borderId="3" xfId="15" applyNumberFormat="1" applyFont="1" applyFill="1" applyBorder="1" applyAlignment="1" applyProtection="1">
      <alignment vertical="center"/>
    </xf>
    <xf numFmtId="0" fontId="10" fillId="0" borderId="11" xfId="0" applyFont="1" applyBorder="1" applyAlignment="1">
      <alignment vertical="center" wrapText="1"/>
    </xf>
    <xf numFmtId="1" fontId="10" fillId="0" borderId="13" xfId="0" applyNumberFormat="1" applyFont="1" applyBorder="1" applyAlignment="1">
      <alignment horizontal="right" vertical="center" wrapText="1"/>
    </xf>
    <xf numFmtId="0" fontId="11" fillId="0" borderId="12" xfId="46" quotePrefix="1" applyFont="1" applyBorder="1" applyAlignment="1">
      <alignment horizontal="center" vertical="center"/>
    </xf>
    <xf numFmtId="0" fontId="11" fillId="0" borderId="9" xfId="46" quotePrefix="1" applyFont="1" applyBorder="1" applyAlignment="1">
      <alignment horizontal="center" vertical="center"/>
    </xf>
    <xf numFmtId="0" fontId="11" fillId="0" borderId="13" xfId="46" applyFont="1" applyBorder="1" applyAlignment="1">
      <alignment horizontal="left" vertical="center" wrapText="1"/>
    </xf>
    <xf numFmtId="0" fontId="11" fillId="0" borderId="14" xfId="46" quotePrefix="1" applyFont="1" applyBorder="1" applyAlignment="1">
      <alignment horizontal="center" vertical="center"/>
    </xf>
    <xf numFmtId="0" fontId="11" fillId="0" borderId="16" xfId="46" quotePrefix="1" applyFont="1" applyBorder="1" applyAlignment="1">
      <alignment horizontal="center" vertical="center"/>
    </xf>
    <xf numFmtId="0" fontId="11" fillId="0" borderId="15" xfId="46" quotePrefix="1" applyFont="1" applyBorder="1" applyAlignment="1">
      <alignment horizontal="center" vertical="center"/>
    </xf>
    <xf numFmtId="0" fontId="11" fillId="0" borderId="7" xfId="46" quotePrefix="1" applyFont="1" applyBorder="1" applyAlignment="1">
      <alignment horizontal="center" vertical="center"/>
    </xf>
    <xf numFmtId="0" fontId="11" fillId="0" borderId="7" xfId="46" quotePrefix="1" applyFont="1" applyBorder="1" applyAlignment="1">
      <alignment horizontal="left" vertical="center" wrapText="1"/>
    </xf>
    <xf numFmtId="0" fontId="11" fillId="0" borderId="15" xfId="46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11" fillId="0" borderId="3" xfId="46" quotePrefix="1" applyFont="1" applyBorder="1" applyAlignment="1" applyProtection="1">
      <alignment horizontal="left" vertical="center" wrapText="1"/>
      <protection locked="0"/>
    </xf>
    <xf numFmtId="0" fontId="11" fillId="0" borderId="3" xfId="46" applyFont="1" applyBorder="1" applyAlignment="1" applyProtection="1">
      <alignment horizontal="center" vertical="center"/>
      <protection locked="0"/>
    </xf>
    <xf numFmtId="0" fontId="11" fillId="0" borderId="3" xfId="0" quotePrefix="1" applyFont="1" applyBorder="1" applyAlignment="1" applyProtection="1">
      <alignment horizontal="left" vertical="center" wrapText="1"/>
      <protection locked="0"/>
    </xf>
    <xf numFmtId="1" fontId="10" fillId="0" borderId="3" xfId="0" applyNumberFormat="1" applyFont="1" applyBorder="1" applyAlignment="1">
      <alignment horizontal="right" vertical="center" wrapText="1"/>
    </xf>
    <xf numFmtId="0" fontId="11" fillId="0" borderId="3" xfId="49" applyFont="1" applyBorder="1" applyAlignment="1">
      <alignment horizontal="left" vertical="center" wrapText="1"/>
    </xf>
    <xf numFmtId="0" fontId="11" fillId="0" borderId="3" xfId="49" applyFont="1" applyBorder="1" applyAlignment="1">
      <alignment horizontal="center" vertical="center"/>
    </xf>
    <xf numFmtId="0" fontId="11" fillId="0" borderId="14" xfId="46" applyFont="1" applyBorder="1" applyAlignment="1">
      <alignment horizontal="center" vertical="center"/>
    </xf>
    <xf numFmtId="0" fontId="11" fillId="0" borderId="14" xfId="49" quotePrefix="1" applyFont="1" applyBorder="1" applyAlignment="1">
      <alignment horizontal="left" vertical="center" wrapText="1"/>
    </xf>
    <xf numFmtId="49" fontId="11" fillId="0" borderId="15" xfId="46" quotePrefix="1" applyNumberFormat="1" applyFont="1" applyBorder="1" applyAlignment="1">
      <alignment vertical="center" wrapText="1"/>
    </xf>
    <xf numFmtId="3" fontId="11" fillId="0" borderId="3" xfId="49" applyNumberFormat="1" applyFont="1" applyBorder="1" applyAlignment="1">
      <alignment horizontal="center" vertical="center"/>
    </xf>
    <xf numFmtId="0" fontId="11" fillId="0" borderId="14" xfId="46" quotePrefix="1" applyFont="1" applyBorder="1" applyAlignment="1">
      <alignment horizontal="left" vertical="center" wrapText="1"/>
    </xf>
    <xf numFmtId="4" fontId="20" fillId="0" borderId="3" xfId="0" applyNumberFormat="1" applyFont="1" applyBorder="1" applyAlignment="1">
      <alignment vertical="center"/>
    </xf>
    <xf numFmtId="3" fontId="11" fillId="0" borderId="3" xfId="51" applyNumberFormat="1" applyFont="1" applyBorder="1" applyAlignment="1" applyProtection="1">
      <alignment horizontal="center" vertical="center" wrapText="1"/>
      <protection locked="0"/>
    </xf>
    <xf numFmtId="0" fontId="11" fillId="0" borderId="15" xfId="46" quotePrefix="1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 wrapText="1"/>
    </xf>
    <xf numFmtId="0" fontId="11" fillId="0" borderId="3" xfId="48" applyFont="1" applyBorder="1" applyAlignment="1">
      <alignment horizontal="left" vertical="center" wrapText="1"/>
    </xf>
    <xf numFmtId="0" fontId="11" fillId="0" borderId="3" xfId="47" quotePrefix="1" applyFont="1" applyBorder="1" applyAlignment="1">
      <alignment horizontal="left" vertical="center" wrapText="1"/>
    </xf>
    <xf numFmtId="0" fontId="11" fillId="0" borderId="3" xfId="50" quotePrefix="1" applyFont="1" applyBorder="1" applyAlignment="1">
      <alignment horizontal="left" vertical="center" wrapText="1"/>
    </xf>
    <xf numFmtId="0" fontId="11" fillId="0" borderId="3" xfId="50" applyFont="1" applyBorder="1" applyAlignment="1">
      <alignment horizontal="center" vertical="center"/>
    </xf>
    <xf numFmtId="0" fontId="11" fillId="0" borderId="3" xfId="50" applyFont="1" applyBorder="1" applyAlignment="1">
      <alignment horizontal="left" vertical="center" wrapText="1"/>
    </xf>
    <xf numFmtId="0" fontId="11" fillId="0" borderId="3" xfId="53" applyFont="1" applyBorder="1" applyAlignment="1" applyProtection="1">
      <alignment horizontal="center" vertical="center"/>
      <protection locked="0"/>
    </xf>
    <xf numFmtId="3" fontId="11" fillId="0" borderId="3" xfId="0" applyNumberFormat="1" applyFont="1" applyBorder="1" applyAlignment="1" applyProtection="1">
      <alignment horizontal="center" vertical="center"/>
      <protection locked="0"/>
    </xf>
    <xf numFmtId="0" fontId="11" fillId="0" borderId="7" xfId="50" quotePrefix="1" applyFont="1" applyBorder="1" applyAlignment="1">
      <alignment horizontal="left" vertical="center" wrapText="1"/>
    </xf>
    <xf numFmtId="0" fontId="11" fillId="0" borderId="3" xfId="46" quotePrefix="1" applyFont="1" applyBorder="1" applyAlignment="1">
      <alignment vertical="center" wrapText="1"/>
    </xf>
    <xf numFmtId="0" fontId="11" fillId="0" borderId="0" xfId="46" applyFont="1" applyAlignment="1">
      <alignment horizontal="center" vertical="center" wrapText="1"/>
    </xf>
    <xf numFmtId="0" fontId="11" fillId="0" borderId="15" xfId="46" quotePrefix="1" applyFont="1" applyBorder="1" applyAlignment="1">
      <alignment vertical="center" wrapText="1"/>
    </xf>
    <xf numFmtId="0" fontId="11" fillId="0" borderId="6" xfId="46" applyFont="1" applyBorder="1" applyAlignment="1">
      <alignment horizontal="center" vertical="center" wrapText="1"/>
    </xf>
    <xf numFmtId="4" fontId="10" fillId="0" borderId="13" xfId="54" applyNumberFormat="1" applyFont="1" applyBorder="1" applyAlignment="1">
      <alignment horizontal="center" vertical="center" wrapText="1"/>
    </xf>
    <xf numFmtId="3" fontId="10" fillId="0" borderId="3" xfId="0" applyNumberFormat="1" applyFont="1" applyBorder="1" applyAlignment="1">
      <alignment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3" fontId="7" fillId="0" borderId="13" xfId="15" applyNumberFormat="1" applyFont="1" applyFill="1" applyBorder="1" applyAlignment="1" applyProtection="1">
      <alignment horizontal="center" vertical="center" wrapText="1"/>
    </xf>
    <xf numFmtId="4" fontId="11" fillId="0" borderId="14" xfId="46" applyNumberFormat="1" applyFont="1" applyBorder="1" applyAlignment="1">
      <alignment vertical="center"/>
    </xf>
    <xf numFmtId="4" fontId="11" fillId="0" borderId="3" xfId="46" applyNumberFormat="1" applyFont="1" applyBorder="1" applyAlignment="1">
      <alignment vertical="center"/>
    </xf>
    <xf numFmtId="4" fontId="7" fillId="0" borderId="13" xfId="46" applyNumberFormat="1" applyFont="1" applyBorder="1" applyAlignment="1">
      <alignment horizontal="center" vertical="center"/>
    </xf>
    <xf numFmtId="4" fontId="20" fillId="0" borderId="3" xfId="46" applyNumberFormat="1" applyFont="1" applyBorder="1" applyAlignment="1">
      <alignment horizontal="center" vertical="center"/>
    </xf>
    <xf numFmtId="0" fontId="20" fillId="0" borderId="3" xfId="46" applyFont="1" applyBorder="1" applyAlignment="1">
      <alignment horizontal="center" vertical="center"/>
    </xf>
    <xf numFmtId="0" fontId="48" fillId="0" borderId="4" xfId="0" applyFont="1" applyBorder="1" applyAlignment="1">
      <alignment vertical="center"/>
    </xf>
    <xf numFmtId="0" fontId="11" fillId="0" borderId="3" xfId="0" applyFont="1" applyBorder="1" applyAlignment="1">
      <alignment horizontal="center" vertical="center" wrapText="1"/>
    </xf>
    <xf numFmtId="1" fontId="49" fillId="0" borderId="3" xfId="55" applyNumberFormat="1" applyFont="1" applyBorder="1" applyAlignment="1">
      <alignment horizontal="center" vertical="center" wrapText="1"/>
    </xf>
    <xf numFmtId="49" fontId="11" fillId="0" borderId="14" xfId="46" applyNumberFormat="1" applyFont="1" applyBorder="1" applyAlignment="1">
      <alignment vertical="center" wrapText="1"/>
    </xf>
    <xf numFmtId="0" fontId="11" fillId="0" borderId="15" xfId="0" applyFont="1" applyBorder="1" applyAlignment="1">
      <alignment vertical="center"/>
    </xf>
    <xf numFmtId="0" fontId="11" fillId="0" borderId="7" xfId="0" applyFont="1" applyBorder="1" applyAlignment="1">
      <alignment horizontal="left" vertical="center" wrapText="1"/>
    </xf>
    <xf numFmtId="4" fontId="0" fillId="0" borderId="3" xfId="15" applyNumberFormat="1" applyFont="1" applyFill="1" applyBorder="1" applyAlignment="1" applyProtection="1">
      <alignment vertical="center"/>
    </xf>
    <xf numFmtId="4" fontId="20" fillId="0" borderId="3" xfId="49" applyNumberFormat="1" applyFont="1" applyBorder="1" applyAlignment="1">
      <alignment horizontal="center" vertical="center"/>
    </xf>
    <xf numFmtId="0" fontId="11" fillId="0" borderId="3" xfId="53" applyFont="1" applyBorder="1" applyAlignment="1">
      <alignment vertical="center" wrapText="1"/>
    </xf>
    <xf numFmtId="0" fontId="11" fillId="0" borderId="15" xfId="0" quotePrefix="1" applyFont="1" applyBorder="1" applyAlignment="1">
      <alignment vertical="center" wrapText="1"/>
    </xf>
    <xf numFmtId="4" fontId="10" fillId="0" borderId="13" xfId="46" applyNumberFormat="1" applyFont="1" applyBorder="1" applyAlignment="1">
      <alignment horizontal="center"/>
    </xf>
    <xf numFmtId="4" fontId="7" fillId="0" borderId="3" xfId="0" applyNumberFormat="1" applyFont="1" applyBorder="1" applyAlignment="1">
      <alignment wrapText="1"/>
    </xf>
    <xf numFmtId="4" fontId="7" fillId="0" borderId="3" xfId="0" applyNumberFormat="1" applyFont="1" applyBorder="1" applyAlignment="1">
      <alignment horizontal="center" vertical="center"/>
    </xf>
    <xf numFmtId="4" fontId="7" fillId="0" borderId="3" xfId="52" applyNumberFormat="1" applyFont="1" applyBorder="1" applyAlignment="1">
      <alignment horizontal="center" vertical="center"/>
    </xf>
    <xf numFmtId="0" fontId="0" fillId="0" borderId="22" xfId="0" applyBorder="1"/>
    <xf numFmtId="0" fontId="0" fillId="0" borderId="3" xfId="0" applyBorder="1"/>
    <xf numFmtId="0" fontId="0" fillId="0" borderId="15" xfId="0" applyBorder="1"/>
    <xf numFmtId="4" fontId="47" fillId="0" borderId="23" xfId="0" applyNumberFormat="1" applyFont="1" applyBorder="1" applyAlignment="1">
      <alignment horizontal="center" vertical="center" wrapText="1"/>
    </xf>
    <xf numFmtId="4" fontId="5" fillId="0" borderId="13" xfId="15" applyNumberFormat="1" applyFont="1" applyFill="1" applyBorder="1" applyAlignment="1" applyProtection="1">
      <alignment horizontal="center" vertical="center"/>
    </xf>
    <xf numFmtId="4" fontId="7" fillId="0" borderId="13" xfId="15" applyNumberFormat="1" applyFont="1" applyFill="1" applyBorder="1" applyAlignment="1" applyProtection="1">
      <alignment horizontal="center" vertical="center"/>
    </xf>
    <xf numFmtId="4" fontId="47" fillId="0" borderId="24" xfId="0" applyNumberFormat="1" applyFont="1" applyBorder="1" applyAlignment="1">
      <alignment horizontal="center" vertical="center" wrapText="1"/>
    </xf>
    <xf numFmtId="0" fontId="0" fillId="0" borderId="12" xfId="0" applyBorder="1"/>
    <xf numFmtId="0" fontId="11" fillId="0" borderId="12" xfId="46" applyFont="1" applyBorder="1" applyAlignment="1">
      <alignment horizontal="center" vertical="top" wrapText="1"/>
    </xf>
    <xf numFmtId="0" fontId="27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10" fillId="0" borderId="3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wrapText="1"/>
    </xf>
    <xf numFmtId="0" fontId="11" fillId="0" borderId="7" xfId="46" applyFont="1" applyBorder="1" applyAlignment="1">
      <alignment horizontal="center" vertical="center"/>
    </xf>
    <xf numFmtId="165" fontId="11" fillId="0" borderId="9" xfId="0" applyNumberFormat="1" applyFont="1" applyBorder="1" applyAlignment="1">
      <alignment horizontal="center" vertical="center"/>
    </xf>
    <xf numFmtId="0" fontId="11" fillId="0" borderId="13" xfId="10" quotePrefix="1" applyFont="1" applyBorder="1" applyAlignment="1">
      <alignment horizontal="left" vertical="center" wrapText="1"/>
    </xf>
    <xf numFmtId="3" fontId="11" fillId="0" borderId="3" xfId="15" applyNumberFormat="1" applyFont="1" applyFill="1" applyBorder="1" applyAlignment="1" applyProtection="1">
      <alignment horizontal="center" vertical="center"/>
    </xf>
    <xf numFmtId="165" fontId="11" fillId="0" borderId="15" xfId="0" applyNumberFormat="1" applyFont="1" applyBorder="1" applyAlignment="1">
      <alignment vertical="center"/>
    </xf>
    <xf numFmtId="165" fontId="11" fillId="0" borderId="7" xfId="0" applyNumberFormat="1" applyFont="1" applyBorder="1" applyAlignment="1">
      <alignment vertical="center"/>
    </xf>
    <xf numFmtId="0" fontId="27" fillId="0" borderId="13" xfId="46" quotePrefix="1" applyFont="1" applyBorder="1" applyAlignment="1">
      <alignment horizontal="left" vertical="center" wrapText="1"/>
    </xf>
    <xf numFmtId="4" fontId="27" fillId="0" borderId="3" xfId="15" applyNumberFormat="1" applyFont="1" applyFill="1" applyBorder="1" applyAlignment="1" applyProtection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 wrapText="1"/>
    </xf>
    <xf numFmtId="0" fontId="29" fillId="0" borderId="15" xfId="0" applyFont="1" applyBorder="1"/>
    <xf numFmtId="4" fontId="7" fillId="0" borderId="3" xfId="46" applyNumberFormat="1" applyFont="1" applyBorder="1" applyAlignment="1">
      <alignment horizontal="right" vertical="center"/>
    </xf>
    <xf numFmtId="0" fontId="11" fillId="0" borderId="13" xfId="15" applyNumberFormat="1" applyFont="1" applyFill="1" applyBorder="1" applyAlignment="1" applyProtection="1">
      <alignment vertical="center" wrapText="1"/>
    </xf>
    <xf numFmtId="3" fontId="11" fillId="0" borderId="13" xfId="15" applyNumberFormat="1" applyFont="1" applyFill="1" applyBorder="1" applyAlignment="1" applyProtection="1">
      <alignment horizontal="right" vertical="center"/>
    </xf>
    <xf numFmtId="1" fontId="11" fillId="0" borderId="3" xfId="46" applyNumberFormat="1" applyFont="1" applyBorder="1" applyAlignment="1">
      <alignment horizontal="right" vertical="center"/>
    </xf>
    <xf numFmtId="0" fontId="11" fillId="0" borderId="13" xfId="15" applyNumberFormat="1" applyFont="1" applyFill="1" applyBorder="1" applyAlignment="1" applyProtection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1" fontId="11" fillId="0" borderId="13" xfId="0" applyNumberFormat="1" applyFont="1" applyBorder="1" applyAlignment="1">
      <alignment horizontal="right" vertical="center" wrapText="1"/>
    </xf>
    <xf numFmtId="1" fontId="11" fillId="0" borderId="3" xfId="0" applyNumberFormat="1" applyFont="1" applyBorder="1" applyAlignment="1">
      <alignment horizontal="right" vertical="center" wrapText="1"/>
    </xf>
    <xf numFmtId="3" fontId="11" fillId="0" borderId="3" xfId="0" applyNumberFormat="1" applyFont="1" applyBorder="1" applyAlignment="1">
      <alignment wrapText="1"/>
    </xf>
    <xf numFmtId="0" fontId="11" fillId="0" borderId="15" xfId="0" quotePrefix="1" applyFont="1" applyBorder="1" applyAlignment="1" applyProtection="1">
      <alignment horizontal="left" vertical="center" wrapText="1"/>
      <protection locked="0"/>
    </xf>
    <xf numFmtId="0" fontId="11" fillId="0" borderId="1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4" xfId="46" applyFont="1" applyBorder="1" applyAlignment="1">
      <alignment horizontal="center" vertical="top" wrapText="1"/>
    </xf>
    <xf numFmtId="3" fontId="52" fillId="0" borderId="3" xfId="0" applyNumberFormat="1" applyFont="1" applyBorder="1" applyAlignment="1">
      <alignment vertical="center" wrapText="1"/>
    </xf>
    <xf numFmtId="4" fontId="20" fillId="0" borderId="3" xfId="0" applyNumberFormat="1" applyFont="1" applyBorder="1" applyAlignment="1">
      <alignment wrapText="1"/>
    </xf>
    <xf numFmtId="3" fontId="10" fillId="0" borderId="13" xfId="15" applyNumberFormat="1" applyFont="1" applyFill="1" applyBorder="1" applyAlignment="1">
      <alignment vertical="center" wrapText="1"/>
    </xf>
    <xf numFmtId="4" fontId="20" fillId="0" borderId="3" xfId="46" applyNumberFormat="1" applyFont="1" applyBorder="1" applyAlignment="1">
      <alignment vertical="center" wrapText="1"/>
    </xf>
    <xf numFmtId="4" fontId="20" fillId="0" borderId="3" xfId="52" applyNumberFormat="1" applyFont="1" applyBorder="1" applyAlignment="1">
      <alignment vertical="center"/>
    </xf>
    <xf numFmtId="4" fontId="11" fillId="0" borderId="3" xfId="15" applyNumberFormat="1" applyFont="1" applyFill="1" applyBorder="1" applyAlignment="1">
      <alignment vertical="center"/>
    </xf>
    <xf numFmtId="3" fontId="10" fillId="0" borderId="13" xfId="15" applyNumberFormat="1" applyFont="1" applyFill="1" applyBorder="1" applyAlignment="1">
      <alignment horizontal="right" vertical="center"/>
    </xf>
    <xf numFmtId="4" fontId="7" fillId="0" borderId="3" xfId="52" applyNumberFormat="1" applyFont="1" applyBorder="1" applyAlignment="1">
      <alignment vertical="center"/>
    </xf>
    <xf numFmtId="3" fontId="11" fillId="0" borderId="3" xfId="46" applyNumberFormat="1" applyFont="1" applyBorder="1" applyAlignment="1">
      <alignment horizontal="center" vertical="center"/>
    </xf>
    <xf numFmtId="3" fontId="10" fillId="0" borderId="3" xfId="15" applyNumberFormat="1" applyFont="1" applyFill="1" applyBorder="1" applyAlignment="1">
      <alignment vertical="center"/>
    </xf>
    <xf numFmtId="3" fontId="10" fillId="0" borderId="13" xfId="15" applyNumberFormat="1" applyFont="1" applyFill="1" applyBorder="1" applyAlignment="1">
      <alignment horizontal="right" vertical="center" wrapText="1"/>
    </xf>
    <xf numFmtId="3" fontId="10" fillId="0" borderId="13" xfId="0" applyNumberFormat="1" applyFont="1" applyBorder="1" applyAlignment="1">
      <alignment horizontal="right" vertical="center" wrapText="1"/>
    </xf>
    <xf numFmtId="4" fontId="20" fillId="0" borderId="13" xfId="0" applyNumberFormat="1" applyFont="1" applyBorder="1" applyAlignment="1">
      <alignment vertical="center" wrapText="1"/>
    </xf>
    <xf numFmtId="3" fontId="11" fillId="0" borderId="13" xfId="0" applyNumberFormat="1" applyFont="1" applyBorder="1" applyAlignment="1">
      <alignment horizontal="center" vertical="center" wrapText="1"/>
    </xf>
    <xf numFmtId="3" fontId="11" fillId="0" borderId="3" xfId="49" applyNumberFormat="1" applyFont="1" applyBorder="1" applyAlignment="1" applyProtection="1">
      <alignment horizontal="center" vertical="center"/>
    </xf>
    <xf numFmtId="3" fontId="11" fillId="0" borderId="3" xfId="53" applyNumberFormat="1" applyFont="1" applyBorder="1" applyAlignment="1">
      <alignment horizontal="center" vertical="center"/>
    </xf>
    <xf numFmtId="0" fontId="11" fillId="0" borderId="15" xfId="46" applyFont="1" applyBorder="1" applyAlignment="1">
      <alignment horizontal="center" vertical="top" wrapText="1"/>
    </xf>
    <xf numFmtId="0" fontId="11" fillId="0" borderId="3" xfId="0" quotePrefix="1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3" fontId="11" fillId="0" borderId="15" xfId="46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vertical="center"/>
    </xf>
    <xf numFmtId="4" fontId="7" fillId="0" borderId="3" xfId="0" applyNumberFormat="1" applyFont="1" applyBorder="1" applyAlignment="1">
      <alignment vertical="center" wrapText="1"/>
    </xf>
    <xf numFmtId="4" fontId="7" fillId="0" borderId="3" xfId="0" applyNumberFormat="1" applyFont="1" applyBorder="1" applyAlignment="1">
      <alignment horizontal="center"/>
    </xf>
    <xf numFmtId="4" fontId="0" fillId="0" borderId="19" xfId="0" applyNumberFormat="1" applyBorder="1" applyAlignment="1">
      <alignment vertical="top" wrapText="1"/>
    </xf>
    <xf numFmtId="3" fontId="11" fillId="0" borderId="3" xfId="0" applyNumberFormat="1" applyFont="1" applyBorder="1" applyAlignment="1">
      <alignment horizontal="center" vertical="center"/>
    </xf>
    <xf numFmtId="4" fontId="10" fillId="0" borderId="13" xfId="15" applyNumberFormat="1" applyFont="1" applyFill="1" applyBorder="1" applyAlignment="1">
      <alignment vertical="center" wrapText="1"/>
    </xf>
    <xf numFmtId="0" fontId="10" fillId="0" borderId="13" xfId="15" applyFont="1" applyFill="1" applyBorder="1" applyAlignment="1">
      <alignment vertical="center" wrapText="1"/>
    </xf>
    <xf numFmtId="4" fontId="11" fillId="0" borderId="13" xfId="0" applyNumberFormat="1" applyFont="1" applyBorder="1" applyAlignment="1" applyProtection="1">
      <alignment vertical="center"/>
      <protection locked="0"/>
    </xf>
    <xf numFmtId="0" fontId="10" fillId="0" borderId="13" xfId="15" applyFont="1" applyFill="1" applyBorder="1" applyAlignment="1">
      <alignment horizontal="right" vertical="center" wrapText="1"/>
    </xf>
    <xf numFmtId="0" fontId="27" fillId="0" borderId="15" xfId="0" applyFont="1" applyBorder="1" applyAlignment="1">
      <alignment horizontal="center" vertical="center" wrapText="1"/>
    </xf>
    <xf numFmtId="4" fontId="11" fillId="0" borderId="3" xfId="15" applyNumberFormat="1" applyFont="1" applyFill="1" applyBorder="1" applyAlignment="1">
      <alignment horizontal="center" vertical="center"/>
    </xf>
    <xf numFmtId="3" fontId="11" fillId="0" borderId="3" xfId="15" applyNumberFormat="1" applyFont="1" applyFill="1" applyBorder="1" applyAlignment="1">
      <alignment vertical="center"/>
    </xf>
    <xf numFmtId="4" fontId="7" fillId="0" borderId="3" xfId="0" applyNumberFormat="1" applyFont="1" applyBorder="1" applyAlignment="1">
      <alignment horizontal="right"/>
    </xf>
    <xf numFmtId="4" fontId="7" fillId="0" borderId="3" xfId="52" applyNumberFormat="1" applyFont="1" applyBorder="1" applyAlignment="1">
      <alignment horizontal="right"/>
    </xf>
    <xf numFmtId="4" fontId="7" fillId="0" borderId="13" xfId="15" applyNumberFormat="1" applyFont="1" applyFill="1" applyBorder="1" applyAlignment="1" applyProtection="1">
      <alignment horizontal="right" wrapText="1"/>
    </xf>
    <xf numFmtId="4" fontId="20" fillId="0" borderId="3" xfId="46" applyNumberFormat="1" applyFont="1" applyBorder="1" applyAlignment="1">
      <alignment horizontal="right" wrapText="1"/>
    </xf>
    <xf numFmtId="4" fontId="20" fillId="0" borderId="3" xfId="52" applyNumberFormat="1" applyFont="1" applyBorder="1" applyAlignment="1">
      <alignment horizontal="right"/>
    </xf>
    <xf numFmtId="4" fontId="0" fillId="0" borderId="19" xfId="0" applyNumberFormat="1" applyBorder="1" applyAlignment="1">
      <alignment horizontal="right" wrapText="1"/>
    </xf>
    <xf numFmtId="4" fontId="0" fillId="0" borderId="3" xfId="15" applyNumberFormat="1" applyFont="1" applyFill="1" applyBorder="1" applyAlignment="1" applyProtection="1">
      <alignment horizontal="right"/>
    </xf>
    <xf numFmtId="3" fontId="11" fillId="0" borderId="3" xfId="51" applyNumberFormat="1" applyFont="1" applyBorder="1" applyAlignment="1" applyProtection="1">
      <alignment horizontal="center" vertical="center" wrapText="1"/>
    </xf>
    <xf numFmtId="0" fontId="11" fillId="0" borderId="15" xfId="0" quotePrefix="1" applyFont="1" applyBorder="1" applyAlignment="1">
      <alignment horizontal="left" vertical="center" wrapText="1"/>
    </xf>
    <xf numFmtId="4" fontId="7" fillId="0" borderId="3" xfId="46" applyNumberFormat="1" applyFont="1" applyBorder="1" applyAlignment="1">
      <alignment horizontal="right"/>
    </xf>
    <xf numFmtId="49" fontId="11" fillId="0" borderId="3" xfId="0" quotePrefix="1" applyNumberFormat="1" applyFont="1" applyBorder="1" applyAlignment="1">
      <alignment vertical="center" wrapText="1"/>
    </xf>
    <xf numFmtId="0" fontId="27" fillId="0" borderId="4" xfId="0" applyFont="1" applyBorder="1" applyAlignment="1">
      <alignment vertical="center"/>
    </xf>
    <xf numFmtId="49" fontId="27" fillId="0" borderId="3" xfId="0" quotePrefix="1" applyNumberFormat="1" applyFont="1" applyBorder="1" applyAlignment="1">
      <alignment vertical="center" wrapText="1"/>
    </xf>
    <xf numFmtId="0" fontId="11" fillId="0" borderId="3" xfId="0" applyFont="1" applyBorder="1" applyAlignment="1" applyProtection="1">
      <alignment horizontal="left" vertical="center" wrapText="1"/>
      <protection locked="0"/>
    </xf>
    <xf numFmtId="3" fontId="11" fillId="0" borderId="3" xfId="53" applyNumberFormat="1" applyFont="1" applyBorder="1" applyAlignment="1" applyProtection="1">
      <alignment horizontal="center" vertical="center"/>
      <protection locked="0"/>
    </xf>
    <xf numFmtId="4" fontId="7" fillId="0" borderId="3" xfId="0" applyNumberFormat="1" applyFont="1" applyBorder="1" applyAlignment="1">
      <alignment horizontal="right" vertical="center" wrapText="1"/>
    </xf>
    <xf numFmtId="4" fontId="11" fillId="0" borderId="3" xfId="52" applyNumberFormat="1" applyFont="1" applyBorder="1" applyAlignment="1">
      <alignment horizontal="center" vertical="center"/>
    </xf>
    <xf numFmtId="49" fontId="11" fillId="0" borderId="3" xfId="46" applyNumberFormat="1" applyFont="1" applyBorder="1" applyAlignment="1">
      <alignment horizontal="left" vertical="center" wrapText="1"/>
    </xf>
    <xf numFmtId="4" fontId="11" fillId="0" borderId="13" xfId="0" applyNumberFormat="1" applyFont="1" applyBorder="1" applyAlignment="1">
      <alignment horizontal="center" vertical="center" wrapText="1"/>
    </xf>
    <xf numFmtId="0" fontId="11" fillId="0" borderId="15" xfId="51" quotePrefix="1" applyFont="1" applyBorder="1" applyAlignment="1">
      <alignment horizontal="left" vertical="center" wrapText="1"/>
    </xf>
    <xf numFmtId="0" fontId="11" fillId="0" borderId="3" xfId="51" quotePrefix="1" applyFont="1" applyBorder="1" applyAlignment="1">
      <alignment horizontal="left" vertical="center" wrapText="1"/>
    </xf>
    <xf numFmtId="4" fontId="10" fillId="0" borderId="13" xfId="46" applyNumberFormat="1" applyFont="1" applyBorder="1" applyAlignment="1">
      <alignment horizontal="center" vertical="center"/>
    </xf>
    <xf numFmtId="4" fontId="11" fillId="0" borderId="3" xfId="46" applyNumberFormat="1" applyFont="1" applyBorder="1" applyAlignment="1">
      <alignment horizontal="center" vertical="top"/>
    </xf>
    <xf numFmtId="4" fontId="11" fillId="0" borderId="3" xfId="46" applyNumberFormat="1" applyFont="1" applyBorder="1" applyAlignment="1">
      <alignment horizontal="center" vertical="center" wrapText="1"/>
    </xf>
    <xf numFmtId="4" fontId="53" fillId="0" borderId="20" xfId="0" applyNumberFormat="1" applyFont="1" applyBorder="1" applyAlignment="1">
      <alignment horizontal="center" vertical="center" wrapText="1"/>
    </xf>
    <xf numFmtId="4" fontId="54" fillId="0" borderId="19" xfId="0" applyNumberFormat="1" applyFont="1" applyBorder="1" applyAlignment="1">
      <alignment vertical="top" wrapText="1"/>
    </xf>
    <xf numFmtId="49" fontId="11" fillId="0" borderId="15" xfId="0" applyNumberFormat="1" applyFont="1" applyBorder="1" applyAlignment="1">
      <alignment vertical="center" wrapText="1"/>
    </xf>
    <xf numFmtId="4" fontId="11" fillId="0" borderId="3" xfId="49" applyNumberFormat="1" applyFont="1" applyBorder="1" applyAlignment="1">
      <alignment horizontal="center"/>
    </xf>
    <xf numFmtId="4" fontId="11" fillId="0" borderId="3" xfId="46" applyNumberFormat="1" applyFont="1" applyBorder="1" applyAlignment="1">
      <alignment horizontal="center" wrapText="1"/>
    </xf>
    <xf numFmtId="0" fontId="11" fillId="0" borderId="15" xfId="46" applyFont="1" applyBorder="1" applyAlignment="1">
      <alignment horizontal="center"/>
    </xf>
    <xf numFmtId="3" fontId="11" fillId="0" borderId="15" xfId="46" applyNumberFormat="1" applyFont="1" applyBorder="1" applyAlignment="1">
      <alignment horizontal="center"/>
    </xf>
    <xf numFmtId="4" fontId="11" fillId="0" borderId="3" xfId="52" applyNumberFormat="1" applyFont="1" applyBorder="1" applyAlignment="1">
      <alignment horizontal="center"/>
    </xf>
    <xf numFmtId="0" fontId="29" fillId="0" borderId="14" xfId="0" applyFont="1" applyBorder="1"/>
    <xf numFmtId="0" fontId="18" fillId="0" borderId="3" xfId="0" applyFont="1" applyBorder="1" applyAlignment="1">
      <alignment vertical="center" wrapText="1"/>
    </xf>
    <xf numFmtId="4" fontId="4" fillId="0" borderId="13" xfId="15" applyNumberFormat="1" applyFont="1" applyFill="1" applyBorder="1" applyAlignment="1" applyProtection="1">
      <alignment horizontal="center" vertical="center"/>
    </xf>
    <xf numFmtId="4" fontId="10" fillId="0" borderId="3" xfId="15" applyNumberFormat="1" applyFont="1" applyFill="1" applyBorder="1" applyAlignment="1" applyProtection="1">
      <alignment horizontal="center" vertical="center"/>
    </xf>
    <xf numFmtId="4" fontId="55" fillId="0" borderId="20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11" fillId="0" borderId="3" xfId="46" applyNumberFormat="1" applyFont="1" applyBorder="1" applyAlignment="1">
      <alignment horizontal="center" vertical="center"/>
    </xf>
    <xf numFmtId="0" fontId="11" fillId="0" borderId="13" xfId="46" quotePrefix="1" applyFont="1" applyBorder="1" applyAlignment="1">
      <alignment horizontal="left" vertical="top" wrapText="1"/>
    </xf>
    <xf numFmtId="4" fontId="11" fillId="0" borderId="3" xfId="49" applyNumberFormat="1" applyFont="1" applyBorder="1" applyAlignment="1">
      <alignment horizontal="center" vertical="center"/>
    </xf>
    <xf numFmtId="165" fontId="11" fillId="0" borderId="1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/>
    </xf>
    <xf numFmtId="0" fontId="11" fillId="0" borderId="7" xfId="0" quotePrefix="1" applyFont="1" applyBorder="1" applyAlignment="1">
      <alignment horizontal="left" vertical="center" wrapText="1"/>
    </xf>
    <xf numFmtId="4" fontId="11" fillId="0" borderId="7" xfId="0" applyNumberFormat="1" applyFont="1" applyBorder="1" applyAlignment="1">
      <alignment vertical="center"/>
    </xf>
    <xf numFmtId="4" fontId="2" fillId="0" borderId="3" xfId="15" applyNumberFormat="1" applyFont="1" applyFill="1" applyBorder="1" applyAlignment="1" applyProtection="1">
      <alignment vertical="center"/>
    </xf>
    <xf numFmtId="4" fontId="11" fillId="0" borderId="11" xfId="15" applyNumberFormat="1" applyFont="1" applyFill="1" applyBorder="1" applyAlignment="1" applyProtection="1">
      <alignment horizontal="center" vertical="center" wrapText="1"/>
    </xf>
    <xf numFmtId="0" fontId="11" fillId="0" borderId="13" xfId="0" quotePrefix="1" applyFont="1" applyBorder="1" applyAlignment="1">
      <alignment horizontal="left" vertical="center" wrapText="1"/>
    </xf>
    <xf numFmtId="4" fontId="11" fillId="0" borderId="3" xfId="0" applyNumberFormat="1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 wrapText="1"/>
    </xf>
    <xf numFmtId="165" fontId="11" fillId="0" borderId="14" xfId="46" applyNumberFormat="1" applyFont="1" applyBorder="1" applyAlignment="1">
      <alignment horizontal="center" vertical="top"/>
    </xf>
    <xf numFmtId="0" fontId="11" fillId="0" borderId="14" xfId="46" quotePrefix="1" applyFont="1" applyBorder="1" applyAlignment="1">
      <alignment horizontal="center" vertical="top"/>
    </xf>
    <xf numFmtId="0" fontId="11" fillId="0" borderId="16" xfId="46" quotePrefix="1" applyFont="1" applyBorder="1" applyAlignment="1">
      <alignment horizontal="center" vertical="top"/>
    </xf>
    <xf numFmtId="3" fontId="2" fillId="0" borderId="3" xfId="15" applyNumberFormat="1" applyFont="1" applyFill="1" applyBorder="1" applyAlignment="1" applyProtection="1">
      <alignment vertical="center"/>
    </xf>
    <xf numFmtId="4" fontId="11" fillId="0" borderId="15" xfId="46" applyNumberFormat="1" applyFont="1" applyBorder="1" applyAlignment="1">
      <alignment horizontal="center" vertical="center"/>
    </xf>
    <xf numFmtId="4" fontId="10" fillId="0" borderId="3" xfId="46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4" fontId="0" fillId="0" borderId="19" xfId="0" applyNumberFormat="1" applyBorder="1" applyAlignment="1">
      <alignment horizontal="center" vertical="center" wrapText="1"/>
    </xf>
    <xf numFmtId="165" fontId="11" fillId="0" borderId="3" xfId="10" applyNumberFormat="1" applyFont="1" applyBorder="1" applyAlignment="1">
      <alignment horizontal="center" vertical="center"/>
    </xf>
    <xf numFmtId="4" fontId="11" fillId="0" borderId="11" xfId="0" applyNumberFormat="1" applyFont="1" applyBorder="1" applyAlignment="1">
      <alignment horizontal="center" vertical="center" wrapText="1"/>
    </xf>
    <xf numFmtId="4" fontId="11" fillId="0" borderId="3" xfId="53" applyNumberFormat="1" applyFont="1" applyBorder="1" applyAlignment="1">
      <alignment horizontal="center" vertical="center"/>
    </xf>
    <xf numFmtId="0" fontId="11" fillId="0" borderId="9" xfId="46" applyFont="1" applyBorder="1" applyAlignment="1">
      <alignment horizontal="center" vertical="center" wrapText="1"/>
    </xf>
    <xf numFmtId="4" fontId="7" fillId="0" borderId="13" xfId="52" applyNumberFormat="1" applyFont="1" applyBorder="1" applyAlignment="1">
      <alignment horizontal="center" vertical="center"/>
    </xf>
    <xf numFmtId="4" fontId="7" fillId="0" borderId="13" xfId="52" applyNumberFormat="1" applyFont="1" applyBorder="1" applyAlignment="1">
      <alignment vertical="center"/>
    </xf>
    <xf numFmtId="4" fontId="7" fillId="0" borderId="13" xfId="0" applyNumberFormat="1" applyFont="1" applyBorder="1" applyAlignment="1">
      <alignment horizontal="right" vertical="center" wrapText="1"/>
    </xf>
    <xf numFmtId="4" fontId="4" fillId="0" borderId="13" xfId="15" applyNumberFormat="1" applyFont="1" applyFill="1" applyBorder="1" applyAlignment="1" applyProtection="1">
      <alignment horizontal="right" vertical="center"/>
    </xf>
    <xf numFmtId="0" fontId="67" fillId="0" borderId="10" xfId="0" applyFont="1" applyBorder="1" applyAlignment="1">
      <alignment horizontal="center" vertical="center" wrapText="1"/>
    </xf>
    <xf numFmtId="49" fontId="67" fillId="0" borderId="3" xfId="0" applyNumberFormat="1" applyFont="1" applyBorder="1" applyAlignment="1">
      <alignment horizontal="center" vertical="center" wrapText="1"/>
    </xf>
    <xf numFmtId="49" fontId="68" fillId="0" borderId="3" xfId="0" applyNumberFormat="1" applyFont="1" applyBorder="1" applyAlignment="1">
      <alignment horizontal="center" vertical="center"/>
    </xf>
    <xf numFmtId="4" fontId="53" fillId="0" borderId="23" xfId="0" applyNumberFormat="1" applyFont="1" applyBorder="1" applyAlignment="1">
      <alignment horizontal="center" vertical="center" wrapText="1"/>
    </xf>
    <xf numFmtId="4" fontId="54" fillId="0" borderId="19" xfId="0" applyNumberFormat="1" applyFont="1" applyBorder="1" applyAlignment="1">
      <alignment vertical="center" wrapText="1"/>
    </xf>
    <xf numFmtId="4" fontId="11" fillId="0" borderId="13" xfId="52" applyNumberFormat="1" applyFont="1" applyBorder="1" applyAlignment="1">
      <alignment horizontal="center" vertical="center"/>
    </xf>
    <xf numFmtId="4" fontId="53" fillId="0" borderId="24" xfId="0" applyNumberFormat="1" applyFont="1" applyBorder="1" applyAlignment="1">
      <alignment horizontal="center" vertical="center" wrapText="1"/>
    </xf>
    <xf numFmtId="165" fontId="11" fillId="0" borderId="4" xfId="10" applyNumberFormat="1" applyFont="1" applyBorder="1" applyAlignment="1">
      <alignment horizontal="center" vertical="center"/>
    </xf>
    <xf numFmtId="1" fontId="11" fillId="0" borderId="3" xfId="46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vertical="center" wrapText="1"/>
    </xf>
    <xf numFmtId="49" fontId="68" fillId="0" borderId="3" xfId="0" applyNumberFormat="1" applyFont="1" applyBorder="1" applyAlignment="1">
      <alignment horizontal="center" vertical="center" wrapText="1"/>
    </xf>
    <xf numFmtId="49" fontId="69" fillId="0" borderId="3" xfId="0" applyNumberFormat="1" applyFont="1" applyBorder="1" applyAlignment="1">
      <alignment horizontal="center" vertical="center"/>
    </xf>
    <xf numFmtId="49" fontId="57" fillId="0" borderId="3" xfId="0" applyNumberFormat="1" applyFont="1" applyBorder="1" applyAlignment="1">
      <alignment horizontal="center" vertical="center"/>
    </xf>
    <xf numFmtId="49" fontId="58" fillId="0" borderId="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9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vertical="center" wrapText="1"/>
    </xf>
    <xf numFmtId="0" fontId="60" fillId="0" borderId="3" xfId="64" applyFont="1" applyBorder="1" applyAlignment="1">
      <alignment horizontal="right" vertical="center" wrapText="1"/>
    </xf>
    <xf numFmtId="0" fontId="27" fillId="0" borderId="3" xfId="64" applyFont="1" applyBorder="1" applyAlignment="1">
      <alignment horizontal="center" vertical="center"/>
    </xf>
    <xf numFmtId="4" fontId="27" fillId="0" borderId="3" xfId="64" applyNumberFormat="1" applyFont="1" applyBorder="1" applyAlignment="1">
      <alignment horizontal="center" vertical="center"/>
    </xf>
    <xf numFmtId="0" fontId="61" fillId="0" borderId="3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49" fontId="52" fillId="0" borderId="3" xfId="0" applyNumberFormat="1" applyFont="1" applyBorder="1" applyAlignment="1">
      <alignment horizontal="center" vertical="center" wrapText="1"/>
    </xf>
    <xf numFmtId="0" fontId="52" fillId="0" borderId="3" xfId="0" applyFont="1" applyBorder="1" applyAlignment="1">
      <alignment horizontal="center" vertical="center" wrapText="1"/>
    </xf>
    <xf numFmtId="0" fontId="52" fillId="0" borderId="3" xfId="0" applyFont="1" applyBorder="1" applyAlignment="1">
      <alignment horizontal="left" vertical="center" wrapText="1"/>
    </xf>
    <xf numFmtId="0" fontId="52" fillId="0" borderId="3" xfId="0" applyFont="1" applyBorder="1" applyAlignment="1">
      <alignment vertical="center" wrapText="1"/>
    </xf>
    <xf numFmtId="0" fontId="27" fillId="0" borderId="3" xfId="0" applyFont="1" applyBorder="1" applyAlignment="1">
      <alignment horizontal="center" vertical="center" wrapText="1"/>
    </xf>
    <xf numFmtId="4" fontId="62" fillId="0" borderId="3" xfId="64" applyNumberFormat="1" applyFont="1" applyBorder="1" applyAlignment="1">
      <alignment horizontal="center" vertical="center"/>
    </xf>
    <xf numFmtId="0" fontId="63" fillId="0" borderId="3" xfId="0" applyFont="1" applyBorder="1" applyAlignment="1">
      <alignment horizontal="center" vertical="center" wrapText="1"/>
    </xf>
    <xf numFmtId="0" fontId="64" fillId="0" borderId="3" xfId="64" applyFont="1" applyBorder="1" applyAlignment="1">
      <alignment horizontal="right" vertical="center" wrapText="1"/>
    </xf>
    <xf numFmtId="0" fontId="11" fillId="0" borderId="3" xfId="64" applyFont="1" applyBorder="1" applyAlignment="1">
      <alignment horizontal="center" vertical="center"/>
    </xf>
    <xf numFmtId="4" fontId="65" fillId="0" borderId="3" xfId="64" applyNumberFormat="1" applyFont="1" applyBorder="1" applyAlignment="1">
      <alignment horizontal="center" vertical="center"/>
    </xf>
    <xf numFmtId="4" fontId="53" fillId="0" borderId="25" xfId="0" applyNumberFormat="1" applyFont="1" applyBorder="1" applyAlignment="1">
      <alignment horizontal="center" vertical="center" wrapText="1"/>
    </xf>
    <xf numFmtId="0" fontId="70" fillId="0" borderId="0" xfId="0" applyFont="1"/>
    <xf numFmtId="0" fontId="0" fillId="0" borderId="0" xfId="0" applyAlignment="1">
      <alignment horizontal="center"/>
    </xf>
    <xf numFmtId="0" fontId="5" fillId="0" borderId="0" xfId="0" applyFont="1"/>
    <xf numFmtId="4" fontId="0" fillId="0" borderId="0" xfId="0" applyNumberFormat="1"/>
    <xf numFmtId="49" fontId="69" fillId="0" borderId="0" xfId="0" applyNumberFormat="1" applyFont="1"/>
    <xf numFmtId="49" fontId="10" fillId="8" borderId="3" xfId="0" applyNumberFormat="1" applyFont="1" applyFill="1" applyBorder="1" applyAlignment="1">
      <alignment horizontal="center" vertical="center"/>
    </xf>
    <xf numFmtId="2" fontId="30" fillId="9" borderId="3" xfId="0" applyNumberFormat="1" applyFont="1" applyFill="1" applyBorder="1" applyAlignment="1">
      <alignment vertical="center" wrapText="1"/>
    </xf>
    <xf numFmtId="2" fontId="28" fillId="9" borderId="3" xfId="0" applyNumberFormat="1" applyFont="1" applyFill="1" applyBorder="1" applyAlignment="1">
      <alignment vertical="center" wrapText="1"/>
    </xf>
    <xf numFmtId="2" fontId="28" fillId="8" borderId="3" xfId="0" applyNumberFormat="1" applyFont="1" applyFill="1" applyBorder="1" applyAlignment="1">
      <alignment vertical="center" wrapText="1"/>
    </xf>
    <xf numFmtId="49" fontId="30" fillId="8" borderId="3" xfId="0" applyNumberFormat="1" applyFont="1" applyFill="1" applyBorder="1" applyAlignment="1">
      <alignment vertical="center" wrapText="1"/>
    </xf>
    <xf numFmtId="2" fontId="30" fillId="8" borderId="3" xfId="0" applyNumberFormat="1" applyFont="1" applyFill="1" applyBorder="1" applyAlignment="1">
      <alignment vertical="center" wrapText="1"/>
    </xf>
    <xf numFmtId="49" fontId="30" fillId="8" borderId="3" xfId="0" applyNumberFormat="1" applyFont="1" applyFill="1" applyBorder="1" applyAlignment="1">
      <alignment horizontal="left" vertical="center" wrapText="1"/>
    </xf>
    <xf numFmtId="49" fontId="28" fillId="8" borderId="3" xfId="0" applyNumberFormat="1" applyFont="1" applyFill="1" applyBorder="1" applyAlignment="1">
      <alignment horizontal="center" vertical="center"/>
    </xf>
    <xf numFmtId="49" fontId="28" fillId="8" borderId="3" xfId="0" applyNumberFormat="1" applyFont="1" applyFill="1" applyBorder="1" applyAlignment="1">
      <alignment vertical="center" wrapText="1"/>
    </xf>
    <xf numFmtId="49" fontId="5" fillId="7" borderId="3" xfId="0" applyNumberFormat="1" applyFont="1" applyFill="1" applyBorder="1" applyAlignment="1">
      <alignment horizontal="center" vertical="center" wrapText="1"/>
    </xf>
    <xf numFmtId="164" fontId="10" fillId="10" borderId="10" xfId="55" applyNumberFormat="1" applyFont="1" applyFill="1" applyBorder="1" applyAlignment="1">
      <alignment horizontal="center" vertical="center"/>
    </xf>
    <xf numFmtId="164" fontId="10" fillId="10" borderId="3" xfId="55" applyNumberFormat="1" applyFont="1" applyFill="1" applyBorder="1" applyAlignment="1">
      <alignment horizontal="center" vertical="center"/>
    </xf>
    <xf numFmtId="0" fontId="5" fillId="10" borderId="10" xfId="15" applyNumberFormat="1" applyFont="1" applyFill="1" applyBorder="1" applyAlignment="1" applyProtection="1">
      <alignment vertical="center"/>
    </xf>
    <xf numFmtId="0" fontId="5" fillId="10" borderId="11" xfId="15" applyNumberFormat="1" applyFont="1" applyFill="1" applyBorder="1" applyAlignment="1" applyProtection="1">
      <alignment vertical="center"/>
    </xf>
    <xf numFmtId="3" fontId="7" fillId="10" borderId="13" xfId="15" applyNumberFormat="1" applyFont="1" applyFill="1" applyBorder="1" applyAlignment="1" applyProtection="1">
      <alignment horizontal="center" vertical="center"/>
    </xf>
    <xf numFmtId="4" fontId="5" fillId="10" borderId="13" xfId="15" applyNumberFormat="1" applyFont="1" applyFill="1" applyBorder="1" applyAlignment="1">
      <alignment vertical="center"/>
    </xf>
    <xf numFmtId="4" fontId="7" fillId="10" borderId="3" xfId="15" applyNumberFormat="1" applyFont="1" applyFill="1" applyBorder="1" applyAlignment="1" applyProtection="1">
      <alignment horizontal="center" vertical="center"/>
    </xf>
    <xf numFmtId="0" fontId="7" fillId="10" borderId="13" xfId="15" applyNumberFormat="1" applyFont="1" applyFill="1" applyBorder="1" applyAlignment="1" applyProtection="1">
      <alignment horizontal="center" vertical="center"/>
    </xf>
    <xf numFmtId="0" fontId="0" fillId="10" borderId="3" xfId="0" applyFill="1" applyBorder="1"/>
    <xf numFmtId="0" fontId="20" fillId="10" borderId="13" xfId="15" applyNumberFormat="1" applyFont="1" applyFill="1" applyBorder="1" applyAlignment="1" applyProtection="1">
      <alignment horizontal="center" vertical="center"/>
    </xf>
    <xf numFmtId="0" fontId="0" fillId="10" borderId="15" xfId="0" applyFill="1" applyBorder="1"/>
    <xf numFmtId="0" fontId="10" fillId="10" borderId="3" xfId="46" applyFont="1" applyFill="1" applyBorder="1" applyAlignment="1">
      <alignment horizontal="center" vertical="center" wrapText="1"/>
    </xf>
    <xf numFmtId="0" fontId="10" fillId="10" borderId="10" xfId="46" applyFont="1" applyFill="1" applyBorder="1" applyAlignment="1">
      <alignment horizontal="center" vertical="center" wrapText="1"/>
    </xf>
    <xf numFmtId="0" fontId="10" fillId="10" borderId="10" xfId="15" applyNumberFormat="1" applyFont="1" applyFill="1" applyBorder="1" applyAlignment="1" applyProtection="1">
      <alignment vertical="center"/>
    </xf>
    <xf numFmtId="0" fontId="10" fillId="10" borderId="11" xfId="15" applyNumberFormat="1" applyFont="1" applyFill="1" applyBorder="1" applyAlignment="1" applyProtection="1">
      <alignment vertical="center"/>
    </xf>
    <xf numFmtId="0" fontId="0" fillId="10" borderId="0" xfId="0" applyFill="1"/>
    <xf numFmtId="0" fontId="11" fillId="0" borderId="12" xfId="54" applyFont="1" applyBorder="1" applyAlignment="1">
      <alignment horizontal="center" vertical="center" wrapText="1"/>
    </xf>
    <xf numFmtId="1" fontId="10" fillId="0" borderId="9" xfId="0" applyNumberFormat="1" applyFont="1" applyBorder="1" applyAlignment="1">
      <alignment horizontal="right" vertical="center" wrapText="1"/>
    </xf>
    <xf numFmtId="0" fontId="10" fillId="0" borderId="6" xfId="15" applyNumberFormat="1" applyFont="1" applyFill="1" applyBorder="1" applyAlignment="1" applyProtection="1">
      <alignment vertical="center" wrapText="1"/>
    </xf>
    <xf numFmtId="0" fontId="0" fillId="0" borderId="6" xfId="0" applyBorder="1"/>
    <xf numFmtId="0" fontId="7" fillId="10" borderId="11" xfId="15" applyNumberFormat="1" applyFont="1" applyFill="1" applyBorder="1" applyAlignment="1" applyProtection="1">
      <alignment horizontal="center" vertical="center"/>
    </xf>
    <xf numFmtId="0" fontId="0" fillId="10" borderId="11" xfId="0" applyFill="1" applyBorder="1"/>
    <xf numFmtId="4" fontId="7" fillId="10" borderId="13" xfId="15" applyNumberFormat="1" applyFont="1" applyFill="1" applyBorder="1" applyAlignment="1" applyProtection="1">
      <alignment horizontal="center" vertical="center"/>
    </xf>
    <xf numFmtId="4" fontId="5" fillId="10" borderId="13" xfId="15" applyNumberFormat="1" applyFont="1" applyFill="1" applyBorder="1" applyAlignment="1" applyProtection="1">
      <alignment vertical="center"/>
    </xf>
    <xf numFmtId="0" fontId="0" fillId="10" borderId="22" xfId="0" applyFill="1" applyBorder="1"/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10" fillId="0" borderId="7" xfId="15" applyNumberFormat="1" applyFont="1" applyFill="1" applyBorder="1" applyAlignment="1" applyProtection="1">
      <alignment vertical="center" wrapText="1"/>
    </xf>
    <xf numFmtId="4" fontId="7" fillId="0" borderId="7" xfId="15" applyNumberFormat="1" applyFont="1" applyFill="1" applyBorder="1" applyAlignment="1" applyProtection="1">
      <alignment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 wrapText="1"/>
    </xf>
    <xf numFmtId="0" fontId="32" fillId="10" borderId="10" xfId="0" applyFont="1" applyFill="1" applyBorder="1" applyAlignment="1">
      <alignment vertical="center"/>
    </xf>
    <xf numFmtId="0" fontId="11" fillId="10" borderId="3" xfId="46" applyFont="1" applyFill="1" applyBorder="1" applyAlignment="1">
      <alignment horizontal="center" vertical="center"/>
    </xf>
    <xf numFmtId="4" fontId="7" fillId="10" borderId="3" xfId="46" applyNumberFormat="1" applyFont="1" applyFill="1" applyBorder="1" applyAlignment="1">
      <alignment horizontal="right" vertical="center"/>
    </xf>
    <xf numFmtId="49" fontId="71" fillId="0" borderId="3" xfId="0" applyNumberFormat="1" applyFont="1" applyBorder="1" applyAlignment="1">
      <alignment horizontal="center" vertical="center" wrapText="1"/>
    </xf>
    <xf numFmtId="3" fontId="7" fillId="10" borderId="13" xfId="15" applyNumberFormat="1" applyFont="1" applyFill="1" applyBorder="1" applyAlignment="1">
      <alignment horizontal="center" vertical="center"/>
    </xf>
    <xf numFmtId="4" fontId="7" fillId="10" borderId="3" xfId="15" applyNumberFormat="1" applyFont="1" applyFill="1" applyBorder="1" applyAlignment="1" applyProtection="1">
      <alignment vertical="center"/>
    </xf>
    <xf numFmtId="4" fontId="7" fillId="10" borderId="13" xfId="15" applyNumberFormat="1" applyFont="1" applyFill="1" applyBorder="1" applyAlignment="1" applyProtection="1">
      <alignment vertical="center"/>
    </xf>
    <xf numFmtId="3" fontId="20" fillId="10" borderId="13" xfId="15" applyNumberFormat="1" applyFont="1" applyFill="1" applyBorder="1" applyAlignment="1">
      <alignment horizontal="center" vertical="center"/>
    </xf>
    <xf numFmtId="0" fontId="0" fillId="10" borderId="13" xfId="0" applyFill="1" applyBorder="1" applyAlignment="1">
      <alignment vertical="center"/>
    </xf>
    <xf numFmtId="0" fontId="0" fillId="10" borderId="11" xfId="0" applyFill="1" applyBorder="1" applyAlignment="1">
      <alignment vertical="center"/>
    </xf>
    <xf numFmtId="0" fontId="10" fillId="10" borderId="10" xfId="15" applyNumberFormat="1" applyFont="1" applyFill="1" applyBorder="1" applyAlignment="1" applyProtection="1">
      <alignment vertical="center" wrapText="1"/>
    </xf>
    <xf numFmtId="0" fontId="10" fillId="10" borderId="11" xfId="15" applyNumberFormat="1" applyFont="1" applyFill="1" applyBorder="1" applyAlignment="1" applyProtection="1">
      <alignment vertical="center" wrapText="1"/>
    </xf>
    <xf numFmtId="3" fontId="10" fillId="10" borderId="13" xfId="15" applyNumberFormat="1" applyFont="1" applyFill="1" applyBorder="1" applyAlignment="1">
      <alignment vertical="center" wrapText="1"/>
    </xf>
    <xf numFmtId="4" fontId="10" fillId="10" borderId="13" xfId="15" applyNumberFormat="1" applyFont="1" applyFill="1" applyBorder="1" applyAlignment="1">
      <alignment vertical="center" wrapText="1"/>
    </xf>
    <xf numFmtId="4" fontId="10" fillId="10" borderId="13" xfId="15" applyNumberFormat="1" applyFont="1" applyFill="1" applyBorder="1" applyAlignment="1" applyProtection="1">
      <alignment vertical="center" wrapText="1"/>
    </xf>
    <xf numFmtId="0" fontId="7" fillId="10" borderId="13" xfId="15" applyFont="1" applyFill="1" applyBorder="1" applyAlignment="1">
      <alignment horizontal="center" vertical="center"/>
    </xf>
    <xf numFmtId="0" fontId="20" fillId="10" borderId="13" xfId="15" applyFont="1" applyFill="1" applyBorder="1" applyAlignment="1">
      <alignment horizontal="center" vertical="center"/>
    </xf>
    <xf numFmtId="4" fontId="20" fillId="10" borderId="13" xfId="0" applyNumberFormat="1" applyFont="1" applyFill="1" applyBorder="1" applyAlignment="1">
      <alignment horizontal="center" vertical="center" wrapText="1"/>
    </xf>
    <xf numFmtId="1" fontId="10" fillId="10" borderId="13" xfId="0" applyNumberFormat="1" applyFont="1" applyFill="1" applyBorder="1" applyAlignment="1">
      <alignment horizontal="right" vertical="center" wrapText="1"/>
    </xf>
    <xf numFmtId="1" fontId="10" fillId="10" borderId="3" xfId="0" applyNumberFormat="1" applyFont="1" applyFill="1" applyBorder="1" applyAlignment="1">
      <alignment horizontal="right" vertical="center" wrapText="1"/>
    </xf>
    <xf numFmtId="4" fontId="5" fillId="10" borderId="13" xfId="15" applyNumberFormat="1" applyFont="1" applyFill="1" applyBorder="1" applyAlignment="1" applyProtection="1">
      <alignment horizontal="right"/>
    </xf>
    <xf numFmtId="4" fontId="7" fillId="10" borderId="3" xfId="15" applyNumberFormat="1" applyFont="1" applyFill="1" applyBorder="1" applyAlignment="1" applyProtection="1">
      <alignment horizontal="right"/>
    </xf>
    <xf numFmtId="4" fontId="7" fillId="10" borderId="3" xfId="46" applyNumberFormat="1" applyFont="1" applyFill="1" applyBorder="1" applyAlignment="1">
      <alignment horizontal="right"/>
    </xf>
    <xf numFmtId="3" fontId="10" fillId="10" borderId="13" xfId="15" applyNumberFormat="1" applyFont="1" applyFill="1" applyBorder="1" applyAlignment="1" applyProtection="1">
      <alignment vertical="center" wrapText="1"/>
    </xf>
    <xf numFmtId="3" fontId="20" fillId="10" borderId="13" xfId="15" applyNumberFormat="1" applyFont="1" applyFill="1" applyBorder="1" applyAlignment="1" applyProtection="1">
      <alignment horizontal="center" vertical="center"/>
    </xf>
    <xf numFmtId="0" fontId="10" fillId="10" borderId="10" xfId="0" applyFont="1" applyFill="1" applyBorder="1" applyAlignment="1">
      <alignment vertical="center" wrapText="1"/>
    </xf>
    <xf numFmtId="0" fontId="0" fillId="0" borderId="26" xfId="0" applyBorder="1"/>
    <xf numFmtId="0" fontId="0" fillId="0" borderId="27" xfId="0" applyBorder="1"/>
    <xf numFmtId="0" fontId="2" fillId="0" borderId="28" xfId="0" applyFont="1" applyBorder="1" applyAlignment="1">
      <alignment horizontal="center"/>
    </xf>
    <xf numFmtId="3" fontId="7" fillId="10" borderId="3" xfId="15" applyNumberFormat="1" applyFont="1" applyFill="1" applyBorder="1" applyAlignment="1" applyProtection="1">
      <alignment horizontal="center" vertical="center"/>
    </xf>
    <xf numFmtId="4" fontId="10" fillId="10" borderId="13" xfId="15" applyNumberFormat="1" applyFont="1" applyFill="1" applyBorder="1" applyAlignment="1" applyProtection="1">
      <alignment vertical="center"/>
    </xf>
    <xf numFmtId="0" fontId="7" fillId="10" borderId="10" xfId="15" applyNumberFormat="1" applyFont="1" applyFill="1" applyBorder="1" applyAlignment="1" applyProtection="1">
      <alignment vertical="center"/>
    </xf>
    <xf numFmtId="0" fontId="7" fillId="10" borderId="11" xfId="15" applyNumberFormat="1" applyFont="1" applyFill="1" applyBorder="1" applyAlignment="1" applyProtection="1">
      <alignment vertical="center"/>
    </xf>
    <xf numFmtId="0" fontId="2" fillId="10" borderId="0" xfId="0" applyFont="1" applyFill="1"/>
    <xf numFmtId="4" fontId="4" fillId="10" borderId="13" xfId="15" applyNumberFormat="1" applyFont="1" applyFill="1" applyBorder="1" applyAlignment="1" applyProtection="1">
      <alignment horizontal="center" vertical="center"/>
    </xf>
    <xf numFmtId="4" fontId="10" fillId="10" borderId="3" xfId="15" applyNumberFormat="1" applyFont="1" applyFill="1" applyBorder="1" applyAlignment="1" applyProtection="1">
      <alignment horizontal="center" vertical="center"/>
    </xf>
    <xf numFmtId="4" fontId="10" fillId="10" borderId="13" xfId="15" applyNumberFormat="1" applyFont="1" applyFill="1" applyBorder="1" applyAlignment="1" applyProtection="1">
      <alignment horizontal="center" vertical="center"/>
    </xf>
    <xf numFmtId="4" fontId="20" fillId="10" borderId="13" xfId="15" applyNumberFormat="1" applyFont="1" applyFill="1" applyBorder="1" applyAlignment="1" applyProtection="1">
      <alignment horizontal="center" vertical="center"/>
    </xf>
    <xf numFmtId="4" fontId="10" fillId="10" borderId="3" xfId="46" applyNumberFormat="1" applyFont="1" applyFill="1" applyBorder="1" applyAlignment="1">
      <alignment horizontal="center" vertical="center"/>
    </xf>
    <xf numFmtId="4" fontId="5" fillId="10" borderId="13" xfId="15" applyNumberFormat="1" applyFont="1" applyFill="1" applyBorder="1" applyAlignment="1" applyProtection="1">
      <alignment horizontal="center" vertical="center"/>
    </xf>
    <xf numFmtId="49" fontId="28" fillId="11" borderId="3" xfId="0" applyNumberFormat="1" applyFont="1" applyFill="1" applyBorder="1" applyAlignment="1">
      <alignment vertical="center" wrapText="1"/>
    </xf>
    <xf numFmtId="2" fontId="2" fillId="10" borderId="0" xfId="0" applyNumberFormat="1" applyFont="1" applyFill="1"/>
    <xf numFmtId="49" fontId="30" fillId="11" borderId="3" xfId="0" applyNumberFormat="1" applyFont="1" applyFill="1" applyBorder="1" applyAlignment="1">
      <alignment vertical="center" wrapText="1"/>
    </xf>
    <xf numFmtId="49" fontId="2" fillId="10" borderId="0" xfId="0" applyNumberFormat="1" applyFont="1" applyFill="1"/>
    <xf numFmtId="49" fontId="57" fillId="10" borderId="3" xfId="0" applyNumberFormat="1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vertical="center" wrapText="1"/>
    </xf>
    <xf numFmtId="0" fontId="4" fillId="10" borderId="3" xfId="0" applyFont="1" applyFill="1" applyBorder="1" applyAlignment="1">
      <alignment horizontal="left" vertical="center" wrapText="1"/>
    </xf>
    <xf numFmtId="0" fontId="2" fillId="10" borderId="3" xfId="0" applyFont="1" applyFill="1" applyBorder="1" applyAlignment="1">
      <alignment vertical="center" wrapText="1"/>
    </xf>
    <xf numFmtId="49" fontId="58" fillId="10" borderId="3" xfId="0" applyNumberFormat="1" applyFont="1" applyFill="1" applyBorder="1" applyAlignment="1">
      <alignment horizontal="center" vertical="center"/>
    </xf>
    <xf numFmtId="49" fontId="4" fillId="10" borderId="3" xfId="0" applyNumberFormat="1" applyFont="1" applyFill="1" applyBorder="1" applyAlignment="1">
      <alignment horizontal="center" vertical="center" wrapText="1"/>
    </xf>
    <xf numFmtId="4" fontId="2" fillId="10" borderId="3" xfId="0" applyNumberFormat="1" applyFont="1" applyFill="1" applyBorder="1" applyAlignment="1">
      <alignment vertical="center" wrapText="1"/>
    </xf>
    <xf numFmtId="0" fontId="10" fillId="10" borderId="3" xfId="0" applyFont="1" applyFill="1" applyBorder="1" applyAlignment="1">
      <alignment horizontal="center" vertical="center" wrapText="1"/>
    </xf>
    <xf numFmtId="0" fontId="10" fillId="10" borderId="13" xfId="15" applyNumberFormat="1" applyFont="1" applyFill="1" applyBorder="1" applyAlignment="1" applyProtection="1">
      <alignment vertical="center" wrapText="1"/>
    </xf>
    <xf numFmtId="0" fontId="10" fillId="10" borderId="13" xfId="0" applyFont="1" applyFill="1" applyBorder="1" applyAlignment="1">
      <alignment horizontal="right" vertical="center" wrapText="1"/>
    </xf>
    <xf numFmtId="4" fontId="11" fillId="10" borderId="13" xfId="0" applyNumberFormat="1" applyFont="1" applyFill="1" applyBorder="1" applyAlignment="1">
      <alignment horizontal="center" vertical="center" wrapText="1"/>
    </xf>
    <xf numFmtId="0" fontId="10" fillId="10" borderId="13" xfId="15" applyNumberFormat="1" applyFont="1" applyFill="1" applyBorder="1" applyAlignment="1" applyProtection="1">
      <alignment horizontal="right" vertical="center" wrapText="1"/>
    </xf>
    <xf numFmtId="0" fontId="11" fillId="10" borderId="14" xfId="46" applyFont="1" applyFill="1" applyBorder="1" applyAlignment="1">
      <alignment horizontal="center" vertical="center" wrapText="1"/>
    </xf>
    <xf numFmtId="0" fontId="11" fillId="10" borderId="3" xfId="46" quotePrefix="1" applyFont="1" applyFill="1" applyBorder="1" applyAlignment="1">
      <alignment horizontal="left" vertical="center" wrapText="1"/>
    </xf>
    <xf numFmtId="0" fontId="11" fillId="10" borderId="3" xfId="46" applyFont="1" applyFill="1" applyBorder="1" applyAlignment="1">
      <alignment horizontal="center" vertical="center" wrapText="1"/>
    </xf>
    <xf numFmtId="4" fontId="11" fillId="10" borderId="3" xfId="15" applyNumberFormat="1" applyFont="1" applyFill="1" applyBorder="1" applyAlignment="1" applyProtection="1">
      <alignment vertical="center"/>
    </xf>
    <xf numFmtId="4" fontId="53" fillId="10" borderId="23" xfId="0" applyNumberFormat="1" applyFont="1" applyFill="1" applyBorder="1" applyAlignment="1">
      <alignment horizontal="center" vertical="center" wrapText="1"/>
    </xf>
    <xf numFmtId="4" fontId="54" fillId="10" borderId="19" xfId="0" applyNumberFormat="1" applyFont="1" applyFill="1" applyBorder="1" applyAlignment="1">
      <alignment vertical="center" wrapText="1"/>
    </xf>
    <xf numFmtId="0" fontId="68" fillId="0" borderId="3" xfId="0" applyFont="1" applyBorder="1" applyAlignment="1">
      <alignment horizontal="center" vertical="center"/>
    </xf>
    <xf numFmtId="0" fontId="68" fillId="0" borderId="13" xfId="0" applyFont="1" applyBorder="1" applyAlignment="1">
      <alignment horizontal="center" vertical="center"/>
    </xf>
    <xf numFmtId="4" fontId="68" fillId="0" borderId="3" xfId="0" applyNumberFormat="1" applyFont="1" applyBorder="1" applyAlignment="1">
      <alignment horizontal="center" vertical="center"/>
    </xf>
    <xf numFmtId="4" fontId="68" fillId="0" borderId="3" xfId="0" applyNumberFormat="1" applyFont="1" applyBorder="1" applyAlignment="1">
      <alignment horizontal="center" vertical="center" wrapText="1"/>
    </xf>
    <xf numFmtId="2" fontId="68" fillId="8" borderId="3" xfId="0" applyNumberFormat="1" applyFont="1" applyFill="1" applyBorder="1" applyAlignment="1">
      <alignment vertical="center" wrapText="1"/>
    </xf>
    <xf numFmtId="49" fontId="69" fillId="8" borderId="3" xfId="0" applyNumberFormat="1" applyFont="1" applyFill="1" applyBorder="1" applyAlignment="1">
      <alignment vertical="center" wrapText="1"/>
    </xf>
    <xf numFmtId="2" fontId="69" fillId="8" borderId="3" xfId="0" applyNumberFormat="1" applyFont="1" applyFill="1" applyBorder="1" applyAlignment="1">
      <alignment vertical="center" wrapText="1"/>
    </xf>
    <xf numFmtId="49" fontId="69" fillId="8" borderId="3" xfId="0" applyNumberFormat="1" applyFont="1" applyFill="1" applyBorder="1" applyAlignment="1">
      <alignment horizontal="left" vertical="center" wrapText="1"/>
    </xf>
    <xf numFmtId="49" fontId="69" fillId="8" borderId="3" xfId="0" applyNumberFormat="1" applyFont="1" applyFill="1" applyBorder="1" applyAlignment="1">
      <alignment horizontal="center" vertical="center"/>
    </xf>
    <xf numFmtId="49" fontId="68" fillId="8" borderId="3" xfId="0" applyNumberFormat="1" applyFont="1" applyFill="1" applyBorder="1" applyAlignment="1">
      <alignment horizontal="center" vertical="center"/>
    </xf>
    <xf numFmtId="49" fontId="68" fillId="8" borderId="3" xfId="0" applyNumberFormat="1" applyFont="1" applyFill="1" applyBorder="1" applyAlignment="1">
      <alignment horizontal="center" vertical="center" wrapText="1"/>
    </xf>
    <xf numFmtId="49" fontId="69" fillId="8" borderId="3" xfId="0" applyNumberFormat="1" applyFont="1" applyFill="1" applyBorder="1" applyAlignment="1">
      <alignment horizontal="center" vertical="center" wrapText="1"/>
    </xf>
    <xf numFmtId="4" fontId="10" fillId="10" borderId="11" xfId="15" applyNumberFormat="1" applyFont="1" applyFill="1" applyBorder="1" applyAlignment="1" applyProtection="1">
      <alignment vertical="center" wrapText="1"/>
    </xf>
    <xf numFmtId="4" fontId="7" fillId="10" borderId="13" xfId="15" applyNumberFormat="1" applyFont="1" applyFill="1" applyBorder="1" applyAlignment="1" applyProtection="1">
      <alignment horizontal="center" vertical="center" wrapText="1"/>
    </xf>
    <xf numFmtId="4" fontId="11" fillId="10" borderId="11" xfId="0" applyNumberFormat="1" applyFont="1" applyFill="1" applyBorder="1" applyAlignment="1">
      <alignment horizontal="center" vertical="center" wrapText="1"/>
    </xf>
    <xf numFmtId="0" fontId="42" fillId="0" borderId="10" xfId="62" applyFont="1" applyBorder="1" applyAlignment="1">
      <alignment horizontal="left" vertical="center" wrapText="1" readingOrder="1"/>
    </xf>
    <xf numFmtId="0" fontId="42" fillId="0" borderId="11" xfId="62" applyFont="1" applyBorder="1" applyAlignment="1">
      <alignment horizontal="left" vertical="center" wrapText="1" readingOrder="1"/>
    </xf>
    <xf numFmtId="0" fontId="42" fillId="0" borderId="13" xfId="62" applyFont="1" applyBorder="1" applyAlignment="1">
      <alignment horizontal="left" vertical="center" wrapText="1" readingOrder="1"/>
    </xf>
    <xf numFmtId="8" fontId="44" fillId="0" borderId="3" xfId="62" applyNumberFormat="1" applyFont="1" applyBorder="1" applyAlignment="1">
      <alignment horizontal="right" vertical="center" wrapText="1" readingOrder="1"/>
    </xf>
    <xf numFmtId="0" fontId="44" fillId="0" borderId="3" xfId="62" applyFont="1" applyBorder="1" applyAlignment="1">
      <alignment horizontal="right" vertical="center" wrapText="1" readingOrder="1"/>
    </xf>
    <xf numFmtId="0" fontId="43" fillId="0" borderId="10" xfId="62" applyFont="1" applyBorder="1" applyAlignment="1">
      <alignment horizontal="left" vertical="top" wrapText="1" readingOrder="1"/>
    </xf>
    <xf numFmtId="0" fontId="43" fillId="0" borderId="11" xfId="62" applyFont="1" applyBorder="1" applyAlignment="1">
      <alignment horizontal="left" vertical="top" wrapText="1" readingOrder="1"/>
    </xf>
    <xf numFmtId="49" fontId="36" fillId="0" borderId="10" xfId="62" applyNumberFormat="1" applyFont="1" applyBorder="1" applyAlignment="1">
      <alignment horizontal="left" vertical="center" wrapText="1" readingOrder="1"/>
    </xf>
    <xf numFmtId="0" fontId="36" fillId="0" borderId="11" xfId="62" applyFont="1" applyBorder="1" applyAlignment="1">
      <alignment horizontal="left" vertical="center" wrapText="1" readingOrder="1"/>
    </xf>
    <xf numFmtId="0" fontId="36" fillId="0" borderId="13" xfId="62" applyFont="1" applyBorder="1" applyAlignment="1">
      <alignment horizontal="left" vertical="center" wrapText="1" readingOrder="1"/>
    </xf>
    <xf numFmtId="0" fontId="5" fillId="0" borderId="4" xfId="62" applyFont="1" applyBorder="1" applyAlignment="1">
      <alignment horizontal="left" vertical="top"/>
    </xf>
    <xf numFmtId="0" fontId="1" fillId="0" borderId="0" xfId="62"/>
    <xf numFmtId="0" fontId="4" fillId="0" borderId="6" xfId="62" applyFont="1" applyBorder="1" applyAlignment="1">
      <alignment horizontal="center" vertical="center"/>
    </xf>
    <xf numFmtId="0" fontId="4" fillId="0" borderId="6" xfId="62" applyFont="1" applyBorder="1" applyAlignment="1">
      <alignment horizontal="left" vertical="center" wrapText="1"/>
    </xf>
    <xf numFmtId="0" fontId="4" fillId="0" borderId="7" xfId="62" applyFont="1" applyBorder="1" applyAlignment="1">
      <alignment horizontal="left" vertical="center" wrapText="1"/>
    </xf>
    <xf numFmtId="0" fontId="4" fillId="0" borderId="0" xfId="62" applyFont="1" applyAlignment="1">
      <alignment horizontal="center" vertical="center"/>
    </xf>
    <xf numFmtId="0" fontId="4" fillId="0" borderId="0" xfId="62" applyFont="1" applyAlignment="1">
      <alignment vertical="center" wrapText="1"/>
    </xf>
    <xf numFmtId="0" fontId="1" fillId="0" borderId="16" xfId="62" applyBorder="1"/>
    <xf numFmtId="0" fontId="5" fillId="0" borderId="4" xfId="62" applyFont="1" applyBorder="1" applyAlignment="1">
      <alignment horizontal="left" vertical="center"/>
    </xf>
    <xf numFmtId="0" fontId="1" fillId="0" borderId="0" xfId="62" applyAlignment="1">
      <alignment vertical="center"/>
    </xf>
    <xf numFmtId="0" fontId="4" fillId="0" borderId="0" xfId="62" applyFont="1" applyAlignment="1">
      <alignment horizontal="left" vertical="center" wrapText="1"/>
    </xf>
    <xf numFmtId="0" fontId="4" fillId="0" borderId="16" xfId="62" applyFont="1" applyBorder="1" applyAlignment="1">
      <alignment horizontal="left" vertical="center" wrapText="1"/>
    </xf>
    <xf numFmtId="0" fontId="5" fillId="0" borderId="8" xfId="62" applyFont="1" applyBorder="1" applyAlignment="1">
      <alignment horizontal="left" vertical="top"/>
    </xf>
    <xf numFmtId="0" fontId="1" fillId="0" borderId="17" xfId="62" applyBorder="1"/>
    <xf numFmtId="0" fontId="4" fillId="0" borderId="17" xfId="62" applyFont="1" applyBorder="1" applyAlignment="1">
      <alignment horizontal="center" vertical="center"/>
    </xf>
    <xf numFmtId="0" fontId="4" fillId="0" borderId="17" xfId="62" applyFont="1" applyBorder="1" applyAlignment="1">
      <alignment vertical="center" wrapText="1"/>
    </xf>
    <xf numFmtId="0" fontId="1" fillId="0" borderId="9" xfId="62" applyBorder="1"/>
    <xf numFmtId="0" fontId="36" fillId="0" borderId="8" xfId="62" applyFont="1" applyBorder="1" applyAlignment="1">
      <alignment horizontal="left" vertical="top" wrapText="1"/>
    </xf>
    <xf numFmtId="0" fontId="36" fillId="0" borderId="17" xfId="62" applyFont="1" applyBorder="1" applyAlignment="1">
      <alignment horizontal="left" vertical="top" wrapText="1"/>
    </xf>
    <xf numFmtId="0" fontId="36" fillId="0" borderId="9" xfId="62" applyFont="1" applyBorder="1" applyAlignment="1">
      <alignment horizontal="left" vertical="top" wrapText="1"/>
    </xf>
    <xf numFmtId="0" fontId="31" fillId="0" borderId="4" xfId="62" applyFont="1" applyBorder="1" applyAlignment="1">
      <alignment horizontal="center" vertical="top" wrapText="1"/>
    </xf>
    <xf numFmtId="0" fontId="31" fillId="0" borderId="0" xfId="62" applyFont="1" applyAlignment="1">
      <alignment horizontal="center" vertical="top" wrapText="1"/>
    </xf>
    <xf numFmtId="0" fontId="31" fillId="0" borderId="16" xfId="62" applyFont="1" applyBorder="1" applyAlignment="1">
      <alignment horizontal="center" vertical="top" wrapText="1"/>
    </xf>
    <xf numFmtId="0" fontId="31" fillId="0" borderId="5" xfId="62" applyFont="1" applyBorder="1" applyAlignment="1">
      <alignment horizontal="center" vertical="top" wrapText="1"/>
    </xf>
    <xf numFmtId="0" fontId="31" fillId="0" borderId="6" xfId="62" applyFont="1" applyBorder="1" applyAlignment="1">
      <alignment horizontal="center" vertical="top" wrapText="1"/>
    </xf>
    <xf numFmtId="0" fontId="31" fillId="0" borderId="7" xfId="62" applyFont="1" applyBorder="1" applyAlignment="1">
      <alignment horizontal="center" vertical="top" wrapText="1"/>
    </xf>
    <xf numFmtId="0" fontId="39" fillId="0" borderId="8" xfId="62" applyFont="1" applyBorder="1" applyAlignment="1">
      <alignment horizontal="left"/>
    </xf>
    <xf numFmtId="0" fontId="39" fillId="0" borderId="17" xfId="62" applyFont="1" applyBorder="1" applyAlignment="1">
      <alignment horizontal="left"/>
    </xf>
    <xf numFmtId="0" fontId="39" fillId="0" borderId="9" xfId="62" applyFont="1" applyBorder="1" applyAlignment="1">
      <alignment horizontal="left"/>
    </xf>
    <xf numFmtId="0" fontId="42" fillId="0" borderId="4" xfId="62" applyFont="1" applyBorder="1" applyAlignment="1">
      <alignment horizontal="center" vertical="top" wrapText="1" readingOrder="1"/>
    </xf>
    <xf numFmtId="0" fontId="40" fillId="0" borderId="0" xfId="62" applyFont="1" applyAlignment="1">
      <alignment horizontal="center" vertical="top" wrapText="1" readingOrder="1"/>
    </xf>
    <xf numFmtId="0" fontId="40" fillId="0" borderId="16" xfId="62" applyFont="1" applyBorder="1" applyAlignment="1">
      <alignment horizontal="center" vertical="top" wrapText="1" readingOrder="1"/>
    </xf>
    <xf numFmtId="0" fontId="45" fillId="0" borderId="5" xfId="0" applyFont="1" applyBorder="1" applyAlignment="1">
      <alignment horizontal="center" vertical="center"/>
    </xf>
    <xf numFmtId="0" fontId="45" fillId="0" borderId="6" xfId="0" applyFont="1" applyBorder="1" applyAlignment="1">
      <alignment horizontal="center" vertical="center"/>
    </xf>
    <xf numFmtId="0" fontId="45" fillId="0" borderId="18" xfId="0" applyFont="1" applyBorder="1" applyAlignment="1">
      <alignment horizontal="center" vertical="center"/>
    </xf>
    <xf numFmtId="0" fontId="36" fillId="0" borderId="3" xfId="62" applyFont="1" applyBorder="1" applyAlignment="1">
      <alignment horizontal="left" vertical="top" wrapText="1" readingOrder="1"/>
    </xf>
    <xf numFmtId="0" fontId="38" fillId="0" borderId="4" xfId="62" applyFont="1" applyBorder="1" applyAlignment="1">
      <alignment horizontal="left" vertical="top" wrapText="1"/>
    </xf>
    <xf numFmtId="0" fontId="38" fillId="0" borderId="0" xfId="62" applyFont="1" applyAlignment="1">
      <alignment horizontal="left" vertical="top" wrapText="1"/>
    </xf>
    <xf numFmtId="0" fontId="38" fillId="0" borderId="16" xfId="62" applyFont="1" applyBorder="1" applyAlignment="1">
      <alignment horizontal="left" vertical="top" wrapText="1"/>
    </xf>
    <xf numFmtId="0" fontId="37" fillId="0" borderId="5" xfId="62" applyFont="1" applyBorder="1" applyAlignment="1">
      <alignment horizontal="center" vertical="center" wrapText="1"/>
    </xf>
    <xf numFmtId="0" fontId="37" fillId="0" borderId="6" xfId="62" applyFont="1" applyBorder="1" applyAlignment="1">
      <alignment horizontal="center" vertical="center" wrapText="1"/>
    </xf>
    <xf numFmtId="0" fontId="37" fillId="0" borderId="7" xfId="62" applyFont="1" applyBorder="1" applyAlignment="1">
      <alignment horizontal="center" vertical="center" wrapText="1"/>
    </xf>
    <xf numFmtId="0" fontId="33" fillId="0" borderId="4" xfId="62" applyFont="1" applyBorder="1" applyAlignment="1">
      <alignment horizontal="center" vertical="top" wrapText="1"/>
    </xf>
    <xf numFmtId="0" fontId="38" fillId="0" borderId="0" xfId="62" applyFont="1" applyAlignment="1">
      <alignment horizontal="center" vertical="top" wrapText="1"/>
    </xf>
    <xf numFmtId="0" fontId="38" fillId="0" borderId="16" xfId="62" applyFont="1" applyBorder="1" applyAlignment="1">
      <alignment horizontal="center" vertical="top" wrapText="1"/>
    </xf>
    <xf numFmtId="0" fontId="1" fillId="0" borderId="9" xfId="62" applyBorder="1" applyAlignment="1">
      <alignment vertical="top" wrapText="1"/>
    </xf>
    <xf numFmtId="0" fontId="29" fillId="0" borderId="8" xfId="62" applyFont="1" applyBorder="1" applyAlignment="1">
      <alignment horizontal="center" vertical="top" wrapText="1" readingOrder="1"/>
    </xf>
    <xf numFmtId="0" fontId="29" fillId="0" borderId="17" xfId="62" applyFont="1" applyBorder="1" applyAlignment="1">
      <alignment horizontal="center" vertical="top" wrapText="1" readingOrder="1"/>
    </xf>
    <xf numFmtId="0" fontId="29" fillId="0" borderId="9" xfId="62" applyFont="1" applyBorder="1" applyAlignment="1">
      <alignment horizontal="center" vertical="top" wrapText="1" readingOrder="1"/>
    </xf>
    <xf numFmtId="0" fontId="29" fillId="0" borderId="5" xfId="62" applyFont="1" applyBorder="1" applyAlignment="1">
      <alignment horizontal="center" vertical="top" wrapText="1" readingOrder="1"/>
    </xf>
    <xf numFmtId="0" fontId="1" fillId="0" borderId="6" xfId="62" applyBorder="1" applyAlignment="1">
      <alignment horizontal="center" vertical="top" wrapText="1" readingOrder="1"/>
    </xf>
    <xf numFmtId="0" fontId="1" fillId="0" borderId="7" xfId="62" applyBorder="1" applyAlignment="1">
      <alignment horizontal="center" vertical="top" wrapText="1" readingOrder="1"/>
    </xf>
    <xf numFmtId="0" fontId="34" fillId="0" borderId="8" xfId="62" applyFont="1" applyBorder="1" applyAlignment="1">
      <alignment horizontal="left" vertical="top" wrapText="1"/>
    </xf>
    <xf numFmtId="0" fontId="34" fillId="0" borderId="17" xfId="62" applyFont="1" applyBorder="1" applyAlignment="1">
      <alignment horizontal="left" vertical="top" wrapText="1"/>
    </xf>
    <xf numFmtId="0" fontId="34" fillId="0" borderId="4" xfId="62" applyFont="1" applyBorder="1" applyAlignment="1">
      <alignment horizontal="left" vertical="top" wrapText="1"/>
    </xf>
    <xf numFmtId="0" fontId="34" fillId="0" borderId="0" xfId="62" applyFont="1" applyAlignment="1">
      <alignment horizontal="left" vertical="top" wrapText="1"/>
    </xf>
    <xf numFmtId="0" fontId="34" fillId="0" borderId="5" xfId="62" applyFont="1" applyBorder="1" applyAlignment="1">
      <alignment horizontal="left" vertical="top" wrapText="1"/>
    </xf>
    <xf numFmtId="0" fontId="34" fillId="0" borderId="6" xfId="62" applyFont="1" applyBorder="1" applyAlignment="1">
      <alignment horizontal="left" vertical="top" wrapText="1"/>
    </xf>
    <xf numFmtId="0" fontId="29" fillId="0" borderId="17" xfId="62" applyFont="1" applyBorder="1" applyAlignment="1">
      <alignment horizontal="left" vertical="center" wrapText="1"/>
    </xf>
    <xf numFmtId="0" fontId="29" fillId="0" borderId="9" xfId="62" applyFont="1" applyBorder="1" applyAlignment="1">
      <alignment horizontal="left" vertical="center" wrapText="1"/>
    </xf>
    <xf numFmtId="0" fontId="29" fillId="0" borderId="0" xfId="62" applyFont="1" applyAlignment="1">
      <alignment horizontal="left" vertical="center" wrapText="1"/>
    </xf>
    <xf numFmtId="0" fontId="29" fillId="0" borderId="16" xfId="62" applyFont="1" applyBorder="1" applyAlignment="1">
      <alignment horizontal="left" vertical="center" wrapText="1"/>
    </xf>
    <xf numFmtId="0" fontId="29" fillId="0" borderId="6" xfId="62" applyFont="1" applyBorder="1" applyAlignment="1">
      <alignment horizontal="left" vertical="center" wrapText="1"/>
    </xf>
    <xf numFmtId="0" fontId="29" fillId="0" borderId="7" xfId="62" applyFont="1" applyBorder="1" applyAlignment="1">
      <alignment horizontal="left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8" fillId="0" borderId="3" xfId="0" applyFont="1" applyBorder="1" applyAlignment="1">
      <alignment horizontal="right" vertical="center" wrapText="1"/>
    </xf>
    <xf numFmtId="49" fontId="8" fillId="0" borderId="10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3" xfId="0" applyFont="1" applyBorder="1" applyAlignment="1">
      <alignment horizontal="center" vertical="center"/>
    </xf>
    <xf numFmtId="49" fontId="6" fillId="7" borderId="10" xfId="0" applyNumberFormat="1" applyFont="1" applyFill="1" applyBorder="1" applyAlignment="1">
      <alignment horizontal="center" vertical="center" wrapText="1"/>
    </xf>
    <xf numFmtId="49" fontId="6" fillId="7" borderId="11" xfId="0" applyNumberFormat="1" applyFont="1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/>
    </xf>
    <xf numFmtId="0" fontId="0" fillId="7" borderId="13" xfId="0" applyFill="1" applyBorder="1" applyAlignment="1">
      <alignment horizontal="center" vertical="center"/>
    </xf>
    <xf numFmtId="0" fontId="8" fillId="0" borderId="10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 wrapText="1"/>
    </xf>
    <xf numFmtId="0" fontId="8" fillId="0" borderId="13" xfId="0" applyFont="1" applyBorder="1" applyAlignment="1">
      <alignment horizontal="right" vertical="center" wrapText="1"/>
    </xf>
    <xf numFmtId="0" fontId="66" fillId="0" borderId="0" xfId="0" applyFont="1" applyAlignment="1">
      <alignment horizontal="center"/>
    </xf>
    <xf numFmtId="49" fontId="58" fillId="10" borderId="3" xfId="0" applyNumberFormat="1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vertical="center"/>
    </xf>
    <xf numFmtId="49" fontId="58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2" fontId="50" fillId="0" borderId="10" xfId="0" applyNumberFormat="1" applyFont="1" applyBorder="1" applyAlignment="1">
      <alignment horizontal="center" vertical="center" wrapText="1"/>
    </xf>
    <xf numFmtId="2" fontId="50" fillId="0" borderId="11" xfId="0" applyNumberFormat="1" applyFont="1" applyBorder="1" applyAlignment="1">
      <alignment horizontal="center" vertical="center" wrapText="1"/>
    </xf>
    <xf numFmtId="2" fontId="50" fillId="0" borderId="21" xfId="0" applyNumberFormat="1" applyFont="1" applyBorder="1" applyAlignment="1">
      <alignment horizontal="center" vertical="center" wrapText="1"/>
    </xf>
    <xf numFmtId="0" fontId="56" fillId="0" borderId="3" xfId="0" applyFont="1" applyBorder="1" applyAlignment="1">
      <alignment horizontal="center" vertical="center" wrapText="1"/>
    </xf>
    <xf numFmtId="49" fontId="68" fillId="0" borderId="3" xfId="0" applyNumberFormat="1" applyFont="1" applyBorder="1" applyAlignment="1">
      <alignment horizontal="center" vertical="center" wrapText="1"/>
    </xf>
    <xf numFmtId="49" fontId="56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2" fontId="56" fillId="0" borderId="3" xfId="0" applyNumberFormat="1" applyFont="1" applyBorder="1" applyAlignment="1">
      <alignment horizontal="center" vertical="center" wrapText="1"/>
    </xf>
  </cellXfs>
  <cellStyles count="65">
    <cellStyle name="_PERSONAL" xfId="1" xr:uid="{00000000-0005-0000-0000-000000000000}"/>
    <cellStyle name="_PERSONAL_1" xfId="2" xr:uid="{00000000-0005-0000-0000-000001000000}"/>
    <cellStyle name="None" xfId="3" xr:uid="{00000000-0005-0000-0000-000002000000}"/>
    <cellStyle name="normální_laroux" xfId="4" xr:uid="{00000000-0005-0000-0000-000003000000}"/>
    <cellStyle name="Normalny" xfId="0" builtinId="0"/>
    <cellStyle name="Normalny 2" xfId="5" xr:uid="{00000000-0005-0000-0000-000005000000}"/>
    <cellStyle name="Normalny 2 17" xfId="62" xr:uid="{209E92BB-A9C9-4E3F-A33D-D1F4BE348880}"/>
    <cellStyle name="Normalny 2 18" xfId="64" xr:uid="{343FBF38-EBA9-4BA3-A52A-DEBC157C4770}"/>
    <cellStyle name="Normalny 2 2" xfId="6" xr:uid="{00000000-0005-0000-0000-000006000000}"/>
    <cellStyle name="Normalny 2 2 2" xfId="7" xr:uid="{00000000-0005-0000-0000-000007000000}"/>
    <cellStyle name="Normalny 2 2 3" xfId="8" xr:uid="{00000000-0005-0000-0000-000008000000}"/>
    <cellStyle name="Normalny 2 2 4" xfId="9" xr:uid="{00000000-0005-0000-0000-000009000000}"/>
    <cellStyle name="Normalny 2 3" xfId="10" xr:uid="{00000000-0005-0000-0000-00000A000000}"/>
    <cellStyle name="Normalny 2 3 2" xfId="11" xr:uid="{00000000-0005-0000-0000-00000B000000}"/>
    <cellStyle name="Normalny 2 4" xfId="12" xr:uid="{00000000-0005-0000-0000-00000C000000}"/>
    <cellStyle name="Normalny 2 4 2" xfId="13" xr:uid="{00000000-0005-0000-0000-00000D000000}"/>
    <cellStyle name="Normalny 2 4 3" xfId="14" xr:uid="{00000000-0005-0000-0000-00000E000000}"/>
    <cellStyle name="Normalny 3" xfId="15" xr:uid="{00000000-0005-0000-0000-00000F000000}"/>
    <cellStyle name="Normalny 3 2" xfId="16" xr:uid="{00000000-0005-0000-0000-000010000000}"/>
    <cellStyle name="Normalny 3 3" xfId="17" xr:uid="{00000000-0005-0000-0000-000011000000}"/>
    <cellStyle name="Normalny 4" xfId="18" xr:uid="{00000000-0005-0000-0000-000012000000}"/>
    <cellStyle name="Normalny 4 2" xfId="19" xr:uid="{00000000-0005-0000-0000-000013000000}"/>
    <cellStyle name="Normalny 4 3" xfId="20" xr:uid="{00000000-0005-0000-0000-000014000000}"/>
    <cellStyle name="Normalny 5" xfId="21" xr:uid="{00000000-0005-0000-0000-000015000000}"/>
    <cellStyle name="Normalny 5 2" xfId="22" xr:uid="{00000000-0005-0000-0000-000016000000}"/>
    <cellStyle name="Normalny 5 2 2" xfId="23" xr:uid="{00000000-0005-0000-0000-000017000000}"/>
    <cellStyle name="Normalny 5 2 2 2" xfId="24" xr:uid="{00000000-0005-0000-0000-000018000000}"/>
    <cellStyle name="Normalny 5 2 3" xfId="25" xr:uid="{00000000-0005-0000-0000-000019000000}"/>
    <cellStyle name="Normalny 5 2 4" xfId="26" xr:uid="{00000000-0005-0000-0000-00001A000000}"/>
    <cellStyle name="Normalny 5 3" xfId="27" xr:uid="{00000000-0005-0000-0000-00001B000000}"/>
    <cellStyle name="Normalny 5 3 2" xfId="28" xr:uid="{00000000-0005-0000-0000-00001C000000}"/>
    <cellStyle name="Normalny 5 3 2 2" xfId="29" xr:uid="{00000000-0005-0000-0000-00001D000000}"/>
    <cellStyle name="Normalny 5 3 3" xfId="30" xr:uid="{00000000-0005-0000-0000-00001E000000}"/>
    <cellStyle name="Normalny 5 3 4" xfId="31" xr:uid="{00000000-0005-0000-0000-00001F000000}"/>
    <cellStyle name="Normalny 5 4" xfId="32" xr:uid="{00000000-0005-0000-0000-000020000000}"/>
    <cellStyle name="Normalny 5 4 2" xfId="33" xr:uid="{00000000-0005-0000-0000-000021000000}"/>
    <cellStyle name="Normalny 5 4 2 2" xfId="34" xr:uid="{00000000-0005-0000-0000-000022000000}"/>
    <cellStyle name="Normalny 5 4 3" xfId="35" xr:uid="{00000000-0005-0000-0000-000023000000}"/>
    <cellStyle name="Normalny 5 5" xfId="36" xr:uid="{00000000-0005-0000-0000-000024000000}"/>
    <cellStyle name="Normalny 5 5 2" xfId="37" xr:uid="{00000000-0005-0000-0000-000025000000}"/>
    <cellStyle name="Normalny 5 6" xfId="38" xr:uid="{00000000-0005-0000-0000-000026000000}"/>
    <cellStyle name="Normalny 5 7" xfId="39" xr:uid="{00000000-0005-0000-0000-000027000000}"/>
    <cellStyle name="Normalny 6" xfId="40" xr:uid="{00000000-0005-0000-0000-000028000000}"/>
    <cellStyle name="Normalny 6 2" xfId="41" xr:uid="{00000000-0005-0000-0000-000029000000}"/>
    <cellStyle name="Normalny 6 2 2" xfId="42" xr:uid="{00000000-0005-0000-0000-00002A000000}"/>
    <cellStyle name="Normalny 6 3" xfId="43" xr:uid="{00000000-0005-0000-0000-00002B000000}"/>
    <cellStyle name="Normalny 6 4" xfId="44" xr:uid="{00000000-0005-0000-0000-00002C000000}"/>
    <cellStyle name="Normalny 7" xfId="63" xr:uid="{47C9AE32-59CF-4E5B-9355-DBE01AF040C5}"/>
    <cellStyle name="Normalny 9" xfId="45" xr:uid="{00000000-0005-0000-0000-00002D000000}"/>
    <cellStyle name="Normalny 9 2" xfId="46" xr:uid="{00000000-0005-0000-0000-00002E000000}"/>
    <cellStyle name="Normalny_Mostowy-Wiadukt (2) 2" xfId="47" xr:uid="{00000000-0005-0000-0000-000030000000}"/>
    <cellStyle name="Normalny_Mostowy-Wiadukt (2) 2_KO_OBIEKTY" xfId="48" xr:uid="{00000000-0005-0000-0000-000031000000}"/>
    <cellStyle name="Normalny_SL_KOSZT_Dobr_1 2" xfId="49" xr:uid="{00000000-0005-0000-0000-000033000000}"/>
    <cellStyle name="Normalny_SL_KOSZT_Dobr_1 2_KO_OBIEKTY" xfId="50" xr:uid="{00000000-0005-0000-0000-000034000000}"/>
    <cellStyle name="Normalny_SL_KOSZT_Dobr_2 2" xfId="51" xr:uid="{00000000-0005-0000-0000-000036000000}"/>
    <cellStyle name="Normalny_SL_KOSZT_Lew0_KO_OBIEKTY" xfId="52" xr:uid="{00000000-0005-0000-0000-000037000000}"/>
    <cellStyle name="Normalny_TER_Działdowo_zestawienie 2" xfId="53" xr:uid="{00000000-0005-0000-0000-00003B000000}"/>
    <cellStyle name="Normalny_TER_Milsko_droga" xfId="54" xr:uid="{00000000-0005-0000-0000-00003C000000}"/>
    <cellStyle name="Normalny_TER_Milsko_droga_KO_OBIEKTY" xfId="55" xr:uid="{00000000-0005-0000-0000-00003D000000}"/>
    <cellStyle name="Opis" xfId="56" xr:uid="{00000000-0005-0000-0000-00003E000000}"/>
    <cellStyle name="Procentowy 2" xfId="57" xr:uid="{00000000-0005-0000-0000-00003F000000}"/>
    <cellStyle name="Styl 1" xfId="58" xr:uid="{00000000-0005-0000-0000-000040000000}"/>
    <cellStyle name="Uwaga 2" xfId="59" xr:uid="{00000000-0005-0000-0000-000041000000}"/>
    <cellStyle name="Uwaga 2 2" xfId="60" xr:uid="{00000000-0005-0000-0000-000042000000}"/>
    <cellStyle name="Uwaga 2 3" xfId="61" xr:uid="{00000000-0005-0000-0000-000043000000}"/>
  </cellStyles>
  <dxfs count="12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D9D9D9"/>
      <color rgb="FFBFBFB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485775</xdr:colOff>
      <xdr:row>0</xdr:row>
      <xdr:rowOff>123825</xdr:rowOff>
    </xdr:from>
    <xdr:to>
      <xdr:col>10</xdr:col>
      <xdr:colOff>857250</xdr:colOff>
      <xdr:row>0</xdr:row>
      <xdr:rowOff>638175</xdr:rowOff>
    </xdr:to>
    <xdr:pic>
      <xdr:nvPicPr>
        <xdr:cNvPr id="2" name="Obraz 8" descr="is_fs_plk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123825"/>
          <a:ext cx="5391150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133350</xdr:colOff>
      <xdr:row>2</xdr:row>
      <xdr:rowOff>19050</xdr:rowOff>
    </xdr:from>
    <xdr:to>
      <xdr:col>6</xdr:col>
      <xdr:colOff>477025</xdr:colOff>
      <xdr:row>4</xdr:row>
      <xdr:rowOff>131445</xdr:rowOff>
    </xdr:to>
    <xdr:pic>
      <xdr:nvPicPr>
        <xdr:cNvPr id="4" name="Obraz 12" descr="R:\P224_LK201\07_Pomoce\Tabelka rysunkowa\logo_PLK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2000" b="21333"/>
        <a:stretch>
          <a:fillRect/>
        </a:stretch>
      </xdr:blipFill>
      <xdr:spPr bwMode="auto">
        <a:xfrm>
          <a:off x="133350" y="885825"/>
          <a:ext cx="247537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swiderski\Desktop\PPMT\201\!%20OFERTA%20PPMT\B-odcinek\P224-DP-OBI-02-002-KIO-10_09.26.xlsx" TargetMode="External"/><Relationship Id="rId1" Type="http://schemas.openxmlformats.org/officeDocument/2006/relationships/externalLinkPath" Target="file:///C:\Users\jswiderski\Desktop\PPMT\201\!%20OFERTA%20PPMT\B-odcinek\P224-DP-OBI-02-002-KIO-10_09.2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tr tyt_02"/>
      <sheetName val="PR_02 most w km163+652"/>
    </sheetNames>
    <sheetDataSet>
      <sheetData sheetId="0"/>
      <sheetData sheetId="1">
        <row r="37">
          <cell r="K37">
            <v>5.08</v>
          </cell>
        </row>
        <row r="65">
          <cell r="K65" t="str">
            <v>x</v>
          </cell>
        </row>
        <row r="74">
          <cell r="K74" t="str">
            <v>x</v>
          </cell>
        </row>
        <row r="77">
          <cell r="K77" t="str">
            <v>x</v>
          </cell>
        </row>
        <row r="79">
          <cell r="K79" t="str">
            <v>x</v>
          </cell>
        </row>
        <row r="81">
          <cell r="K81" t="str">
            <v>x</v>
          </cell>
        </row>
        <row r="83">
          <cell r="K83" t="str">
            <v>x</v>
          </cell>
        </row>
        <row r="85">
          <cell r="K85" t="str">
            <v>x</v>
          </cell>
        </row>
        <row r="90">
          <cell r="K90" t="str">
            <v>x</v>
          </cell>
        </row>
        <row r="94">
          <cell r="K94" t="str">
            <v>x</v>
          </cell>
        </row>
        <row r="102">
          <cell r="K102" t="str">
            <v>x</v>
          </cell>
        </row>
        <row r="105">
          <cell r="K105" t="str">
            <v>x</v>
          </cell>
        </row>
        <row r="107">
          <cell r="K107" t="str">
            <v>x</v>
          </cell>
        </row>
        <row r="123">
          <cell r="K123" t="str">
            <v>x</v>
          </cell>
        </row>
        <row r="126">
          <cell r="K126" t="str">
            <v>x</v>
          </cell>
        </row>
        <row r="136">
          <cell r="K136" t="str">
            <v>x</v>
          </cell>
        </row>
        <row r="138">
          <cell r="K138" t="str">
            <v>x</v>
          </cell>
        </row>
        <row r="142">
          <cell r="K142" t="str">
            <v>x</v>
          </cell>
        </row>
        <row r="145">
          <cell r="K145" t="str">
            <v>x</v>
          </cell>
        </row>
        <row r="147">
          <cell r="K147" t="str">
            <v>x</v>
          </cell>
        </row>
        <row r="151">
          <cell r="K151" t="str">
            <v>x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23B8E-D7D5-4A0E-A499-B4745F836DC7}">
  <sheetPr>
    <pageSetUpPr fitToPage="1"/>
  </sheetPr>
  <dimension ref="A1:M31"/>
  <sheetViews>
    <sheetView view="pageBreakPreview" topLeftCell="B19" zoomScaleNormal="100" zoomScaleSheetLayoutView="100" workbookViewId="0">
      <selection activeCell="B19" sqref="B19:K19"/>
    </sheetView>
  </sheetViews>
  <sheetFormatPr defaultRowHeight="13.2"/>
  <cols>
    <col min="1" max="1" width="1.44140625" style="16" hidden="1" customWidth="1"/>
    <col min="2" max="2" width="10.88671875" style="16" customWidth="1"/>
    <col min="3" max="3" width="5.88671875" style="16" customWidth="1"/>
    <col min="4" max="4" width="1.109375" style="16" customWidth="1"/>
    <col min="5" max="5" width="4" style="16" customWidth="1"/>
    <col min="6" max="6" width="10.33203125" style="16" customWidth="1"/>
    <col min="7" max="7" width="12" style="16" customWidth="1"/>
    <col min="8" max="8" width="5.109375" style="16" customWidth="1"/>
    <col min="9" max="9" width="11.6640625" style="16" customWidth="1"/>
    <col min="10" max="10" width="14.33203125" style="16" customWidth="1"/>
    <col min="11" max="11" width="20.44140625" style="16" customWidth="1"/>
    <col min="12" max="256" width="9.109375" style="16"/>
    <col min="257" max="257" width="0.109375" style="16" customWidth="1"/>
    <col min="258" max="258" width="10.88671875" style="16" customWidth="1"/>
    <col min="259" max="259" width="5.88671875" style="16" customWidth="1"/>
    <col min="260" max="260" width="1.109375" style="16" customWidth="1"/>
    <col min="261" max="261" width="4" style="16" customWidth="1"/>
    <col min="262" max="262" width="10.33203125" style="16" customWidth="1"/>
    <col min="263" max="263" width="12" style="16" customWidth="1"/>
    <col min="264" max="264" width="5.109375" style="16" customWidth="1"/>
    <col min="265" max="265" width="11.6640625" style="16" customWidth="1"/>
    <col min="266" max="266" width="14.33203125" style="16" customWidth="1"/>
    <col min="267" max="267" width="19.109375" style="16" customWidth="1"/>
    <col min="268" max="512" width="9.109375" style="16"/>
    <col min="513" max="513" width="0.109375" style="16" customWidth="1"/>
    <col min="514" max="514" width="10.88671875" style="16" customWidth="1"/>
    <col min="515" max="515" width="5.88671875" style="16" customWidth="1"/>
    <col min="516" max="516" width="1.109375" style="16" customWidth="1"/>
    <col min="517" max="517" width="4" style="16" customWidth="1"/>
    <col min="518" max="518" width="10.33203125" style="16" customWidth="1"/>
    <col min="519" max="519" width="12" style="16" customWidth="1"/>
    <col min="520" max="520" width="5.109375" style="16" customWidth="1"/>
    <col min="521" max="521" width="11.6640625" style="16" customWidth="1"/>
    <col min="522" max="522" width="14.33203125" style="16" customWidth="1"/>
    <col min="523" max="523" width="19.109375" style="16" customWidth="1"/>
    <col min="524" max="768" width="9.109375" style="16"/>
    <col min="769" max="769" width="0.109375" style="16" customWidth="1"/>
    <col min="770" max="770" width="10.88671875" style="16" customWidth="1"/>
    <col min="771" max="771" width="5.88671875" style="16" customWidth="1"/>
    <col min="772" max="772" width="1.109375" style="16" customWidth="1"/>
    <col min="773" max="773" width="4" style="16" customWidth="1"/>
    <col min="774" max="774" width="10.33203125" style="16" customWidth="1"/>
    <col min="775" max="775" width="12" style="16" customWidth="1"/>
    <col min="776" max="776" width="5.109375" style="16" customWidth="1"/>
    <col min="777" max="777" width="11.6640625" style="16" customWidth="1"/>
    <col min="778" max="778" width="14.33203125" style="16" customWidth="1"/>
    <col min="779" max="779" width="19.109375" style="16" customWidth="1"/>
    <col min="780" max="1024" width="9.109375" style="16"/>
    <col min="1025" max="1025" width="0.109375" style="16" customWidth="1"/>
    <col min="1026" max="1026" width="10.88671875" style="16" customWidth="1"/>
    <col min="1027" max="1027" width="5.88671875" style="16" customWidth="1"/>
    <col min="1028" max="1028" width="1.109375" style="16" customWidth="1"/>
    <col min="1029" max="1029" width="4" style="16" customWidth="1"/>
    <col min="1030" max="1030" width="10.33203125" style="16" customWidth="1"/>
    <col min="1031" max="1031" width="12" style="16" customWidth="1"/>
    <col min="1032" max="1032" width="5.109375" style="16" customWidth="1"/>
    <col min="1033" max="1033" width="11.6640625" style="16" customWidth="1"/>
    <col min="1034" max="1034" width="14.33203125" style="16" customWidth="1"/>
    <col min="1035" max="1035" width="19.109375" style="16" customWidth="1"/>
    <col min="1036" max="1280" width="9.109375" style="16"/>
    <col min="1281" max="1281" width="0.109375" style="16" customWidth="1"/>
    <col min="1282" max="1282" width="10.88671875" style="16" customWidth="1"/>
    <col min="1283" max="1283" width="5.88671875" style="16" customWidth="1"/>
    <col min="1284" max="1284" width="1.109375" style="16" customWidth="1"/>
    <col min="1285" max="1285" width="4" style="16" customWidth="1"/>
    <col min="1286" max="1286" width="10.33203125" style="16" customWidth="1"/>
    <col min="1287" max="1287" width="12" style="16" customWidth="1"/>
    <col min="1288" max="1288" width="5.109375" style="16" customWidth="1"/>
    <col min="1289" max="1289" width="11.6640625" style="16" customWidth="1"/>
    <col min="1290" max="1290" width="14.33203125" style="16" customWidth="1"/>
    <col min="1291" max="1291" width="19.109375" style="16" customWidth="1"/>
    <col min="1292" max="1536" width="9.109375" style="16"/>
    <col min="1537" max="1537" width="0.109375" style="16" customWidth="1"/>
    <col min="1538" max="1538" width="10.88671875" style="16" customWidth="1"/>
    <col min="1539" max="1539" width="5.88671875" style="16" customWidth="1"/>
    <col min="1540" max="1540" width="1.109375" style="16" customWidth="1"/>
    <col min="1541" max="1541" width="4" style="16" customWidth="1"/>
    <col min="1542" max="1542" width="10.33203125" style="16" customWidth="1"/>
    <col min="1543" max="1543" width="12" style="16" customWidth="1"/>
    <col min="1544" max="1544" width="5.109375" style="16" customWidth="1"/>
    <col min="1545" max="1545" width="11.6640625" style="16" customWidth="1"/>
    <col min="1546" max="1546" width="14.33203125" style="16" customWidth="1"/>
    <col min="1547" max="1547" width="19.109375" style="16" customWidth="1"/>
    <col min="1548" max="1792" width="9.109375" style="16"/>
    <col min="1793" max="1793" width="0.109375" style="16" customWidth="1"/>
    <col min="1794" max="1794" width="10.88671875" style="16" customWidth="1"/>
    <col min="1795" max="1795" width="5.88671875" style="16" customWidth="1"/>
    <col min="1796" max="1796" width="1.109375" style="16" customWidth="1"/>
    <col min="1797" max="1797" width="4" style="16" customWidth="1"/>
    <col min="1798" max="1798" width="10.33203125" style="16" customWidth="1"/>
    <col min="1799" max="1799" width="12" style="16" customWidth="1"/>
    <col min="1800" max="1800" width="5.109375" style="16" customWidth="1"/>
    <col min="1801" max="1801" width="11.6640625" style="16" customWidth="1"/>
    <col min="1802" max="1802" width="14.33203125" style="16" customWidth="1"/>
    <col min="1803" max="1803" width="19.109375" style="16" customWidth="1"/>
    <col min="1804" max="2048" width="9.109375" style="16"/>
    <col min="2049" max="2049" width="0.109375" style="16" customWidth="1"/>
    <col min="2050" max="2050" width="10.88671875" style="16" customWidth="1"/>
    <col min="2051" max="2051" width="5.88671875" style="16" customWidth="1"/>
    <col min="2052" max="2052" width="1.109375" style="16" customWidth="1"/>
    <col min="2053" max="2053" width="4" style="16" customWidth="1"/>
    <col min="2054" max="2054" width="10.33203125" style="16" customWidth="1"/>
    <col min="2055" max="2055" width="12" style="16" customWidth="1"/>
    <col min="2056" max="2056" width="5.109375" style="16" customWidth="1"/>
    <col min="2057" max="2057" width="11.6640625" style="16" customWidth="1"/>
    <col min="2058" max="2058" width="14.33203125" style="16" customWidth="1"/>
    <col min="2059" max="2059" width="19.109375" style="16" customWidth="1"/>
    <col min="2060" max="2304" width="9.109375" style="16"/>
    <col min="2305" max="2305" width="0.109375" style="16" customWidth="1"/>
    <col min="2306" max="2306" width="10.88671875" style="16" customWidth="1"/>
    <col min="2307" max="2307" width="5.88671875" style="16" customWidth="1"/>
    <col min="2308" max="2308" width="1.109375" style="16" customWidth="1"/>
    <col min="2309" max="2309" width="4" style="16" customWidth="1"/>
    <col min="2310" max="2310" width="10.33203125" style="16" customWidth="1"/>
    <col min="2311" max="2311" width="12" style="16" customWidth="1"/>
    <col min="2312" max="2312" width="5.109375" style="16" customWidth="1"/>
    <col min="2313" max="2313" width="11.6640625" style="16" customWidth="1"/>
    <col min="2314" max="2314" width="14.33203125" style="16" customWidth="1"/>
    <col min="2315" max="2315" width="19.109375" style="16" customWidth="1"/>
    <col min="2316" max="2560" width="9.109375" style="16"/>
    <col min="2561" max="2561" width="0.109375" style="16" customWidth="1"/>
    <col min="2562" max="2562" width="10.88671875" style="16" customWidth="1"/>
    <col min="2563" max="2563" width="5.88671875" style="16" customWidth="1"/>
    <col min="2564" max="2564" width="1.109375" style="16" customWidth="1"/>
    <col min="2565" max="2565" width="4" style="16" customWidth="1"/>
    <col min="2566" max="2566" width="10.33203125" style="16" customWidth="1"/>
    <col min="2567" max="2567" width="12" style="16" customWidth="1"/>
    <col min="2568" max="2568" width="5.109375" style="16" customWidth="1"/>
    <col min="2569" max="2569" width="11.6640625" style="16" customWidth="1"/>
    <col min="2570" max="2570" width="14.33203125" style="16" customWidth="1"/>
    <col min="2571" max="2571" width="19.109375" style="16" customWidth="1"/>
    <col min="2572" max="2816" width="9.109375" style="16"/>
    <col min="2817" max="2817" width="0.109375" style="16" customWidth="1"/>
    <col min="2818" max="2818" width="10.88671875" style="16" customWidth="1"/>
    <col min="2819" max="2819" width="5.88671875" style="16" customWidth="1"/>
    <col min="2820" max="2820" width="1.109375" style="16" customWidth="1"/>
    <col min="2821" max="2821" width="4" style="16" customWidth="1"/>
    <col min="2822" max="2822" width="10.33203125" style="16" customWidth="1"/>
    <col min="2823" max="2823" width="12" style="16" customWidth="1"/>
    <col min="2824" max="2824" width="5.109375" style="16" customWidth="1"/>
    <col min="2825" max="2825" width="11.6640625" style="16" customWidth="1"/>
    <col min="2826" max="2826" width="14.33203125" style="16" customWidth="1"/>
    <col min="2827" max="2827" width="19.109375" style="16" customWidth="1"/>
    <col min="2828" max="3072" width="9.109375" style="16"/>
    <col min="3073" max="3073" width="0.109375" style="16" customWidth="1"/>
    <col min="3074" max="3074" width="10.88671875" style="16" customWidth="1"/>
    <col min="3075" max="3075" width="5.88671875" style="16" customWidth="1"/>
    <col min="3076" max="3076" width="1.109375" style="16" customWidth="1"/>
    <col min="3077" max="3077" width="4" style="16" customWidth="1"/>
    <col min="3078" max="3078" width="10.33203125" style="16" customWidth="1"/>
    <col min="3079" max="3079" width="12" style="16" customWidth="1"/>
    <col min="3080" max="3080" width="5.109375" style="16" customWidth="1"/>
    <col min="3081" max="3081" width="11.6640625" style="16" customWidth="1"/>
    <col min="3082" max="3082" width="14.33203125" style="16" customWidth="1"/>
    <col min="3083" max="3083" width="19.109375" style="16" customWidth="1"/>
    <col min="3084" max="3328" width="9.109375" style="16"/>
    <col min="3329" max="3329" width="0.109375" style="16" customWidth="1"/>
    <col min="3330" max="3330" width="10.88671875" style="16" customWidth="1"/>
    <col min="3331" max="3331" width="5.88671875" style="16" customWidth="1"/>
    <col min="3332" max="3332" width="1.109375" style="16" customWidth="1"/>
    <col min="3333" max="3333" width="4" style="16" customWidth="1"/>
    <col min="3334" max="3334" width="10.33203125" style="16" customWidth="1"/>
    <col min="3335" max="3335" width="12" style="16" customWidth="1"/>
    <col min="3336" max="3336" width="5.109375" style="16" customWidth="1"/>
    <col min="3337" max="3337" width="11.6640625" style="16" customWidth="1"/>
    <col min="3338" max="3338" width="14.33203125" style="16" customWidth="1"/>
    <col min="3339" max="3339" width="19.109375" style="16" customWidth="1"/>
    <col min="3340" max="3584" width="9.109375" style="16"/>
    <col min="3585" max="3585" width="0.109375" style="16" customWidth="1"/>
    <col min="3586" max="3586" width="10.88671875" style="16" customWidth="1"/>
    <col min="3587" max="3587" width="5.88671875" style="16" customWidth="1"/>
    <col min="3588" max="3588" width="1.109375" style="16" customWidth="1"/>
    <col min="3589" max="3589" width="4" style="16" customWidth="1"/>
    <col min="3590" max="3590" width="10.33203125" style="16" customWidth="1"/>
    <col min="3591" max="3591" width="12" style="16" customWidth="1"/>
    <col min="3592" max="3592" width="5.109375" style="16" customWidth="1"/>
    <col min="3593" max="3593" width="11.6640625" style="16" customWidth="1"/>
    <col min="3594" max="3594" width="14.33203125" style="16" customWidth="1"/>
    <col min="3595" max="3595" width="19.109375" style="16" customWidth="1"/>
    <col min="3596" max="3840" width="9.109375" style="16"/>
    <col min="3841" max="3841" width="0.109375" style="16" customWidth="1"/>
    <col min="3842" max="3842" width="10.88671875" style="16" customWidth="1"/>
    <col min="3843" max="3843" width="5.88671875" style="16" customWidth="1"/>
    <col min="3844" max="3844" width="1.109375" style="16" customWidth="1"/>
    <col min="3845" max="3845" width="4" style="16" customWidth="1"/>
    <col min="3846" max="3846" width="10.33203125" style="16" customWidth="1"/>
    <col min="3847" max="3847" width="12" style="16" customWidth="1"/>
    <col min="3848" max="3848" width="5.109375" style="16" customWidth="1"/>
    <col min="3849" max="3849" width="11.6640625" style="16" customWidth="1"/>
    <col min="3850" max="3850" width="14.33203125" style="16" customWidth="1"/>
    <col min="3851" max="3851" width="19.109375" style="16" customWidth="1"/>
    <col min="3852" max="4096" width="9.109375" style="16"/>
    <col min="4097" max="4097" width="0.109375" style="16" customWidth="1"/>
    <col min="4098" max="4098" width="10.88671875" style="16" customWidth="1"/>
    <col min="4099" max="4099" width="5.88671875" style="16" customWidth="1"/>
    <col min="4100" max="4100" width="1.109375" style="16" customWidth="1"/>
    <col min="4101" max="4101" width="4" style="16" customWidth="1"/>
    <col min="4102" max="4102" width="10.33203125" style="16" customWidth="1"/>
    <col min="4103" max="4103" width="12" style="16" customWidth="1"/>
    <col min="4104" max="4104" width="5.109375" style="16" customWidth="1"/>
    <col min="4105" max="4105" width="11.6640625" style="16" customWidth="1"/>
    <col min="4106" max="4106" width="14.33203125" style="16" customWidth="1"/>
    <col min="4107" max="4107" width="19.109375" style="16" customWidth="1"/>
    <col min="4108" max="4352" width="9.109375" style="16"/>
    <col min="4353" max="4353" width="0.109375" style="16" customWidth="1"/>
    <col min="4354" max="4354" width="10.88671875" style="16" customWidth="1"/>
    <col min="4355" max="4355" width="5.88671875" style="16" customWidth="1"/>
    <col min="4356" max="4356" width="1.109375" style="16" customWidth="1"/>
    <col min="4357" max="4357" width="4" style="16" customWidth="1"/>
    <col min="4358" max="4358" width="10.33203125" style="16" customWidth="1"/>
    <col min="4359" max="4359" width="12" style="16" customWidth="1"/>
    <col min="4360" max="4360" width="5.109375" style="16" customWidth="1"/>
    <col min="4361" max="4361" width="11.6640625" style="16" customWidth="1"/>
    <col min="4362" max="4362" width="14.33203125" style="16" customWidth="1"/>
    <col min="4363" max="4363" width="19.109375" style="16" customWidth="1"/>
    <col min="4364" max="4608" width="9.109375" style="16"/>
    <col min="4609" max="4609" width="0.109375" style="16" customWidth="1"/>
    <col min="4610" max="4610" width="10.88671875" style="16" customWidth="1"/>
    <col min="4611" max="4611" width="5.88671875" style="16" customWidth="1"/>
    <col min="4612" max="4612" width="1.109375" style="16" customWidth="1"/>
    <col min="4613" max="4613" width="4" style="16" customWidth="1"/>
    <col min="4614" max="4614" width="10.33203125" style="16" customWidth="1"/>
    <col min="4615" max="4615" width="12" style="16" customWidth="1"/>
    <col min="4616" max="4616" width="5.109375" style="16" customWidth="1"/>
    <col min="4617" max="4617" width="11.6640625" style="16" customWidth="1"/>
    <col min="4618" max="4618" width="14.33203125" style="16" customWidth="1"/>
    <col min="4619" max="4619" width="19.109375" style="16" customWidth="1"/>
    <col min="4620" max="4864" width="9.109375" style="16"/>
    <col min="4865" max="4865" width="0.109375" style="16" customWidth="1"/>
    <col min="4866" max="4866" width="10.88671875" style="16" customWidth="1"/>
    <col min="4867" max="4867" width="5.88671875" style="16" customWidth="1"/>
    <col min="4868" max="4868" width="1.109375" style="16" customWidth="1"/>
    <col min="4869" max="4869" width="4" style="16" customWidth="1"/>
    <col min="4870" max="4870" width="10.33203125" style="16" customWidth="1"/>
    <col min="4871" max="4871" width="12" style="16" customWidth="1"/>
    <col min="4872" max="4872" width="5.109375" style="16" customWidth="1"/>
    <col min="4873" max="4873" width="11.6640625" style="16" customWidth="1"/>
    <col min="4874" max="4874" width="14.33203125" style="16" customWidth="1"/>
    <col min="4875" max="4875" width="19.109375" style="16" customWidth="1"/>
    <col min="4876" max="5120" width="9.109375" style="16"/>
    <col min="5121" max="5121" width="0.109375" style="16" customWidth="1"/>
    <col min="5122" max="5122" width="10.88671875" style="16" customWidth="1"/>
    <col min="5123" max="5123" width="5.88671875" style="16" customWidth="1"/>
    <col min="5124" max="5124" width="1.109375" style="16" customWidth="1"/>
    <col min="5125" max="5125" width="4" style="16" customWidth="1"/>
    <col min="5126" max="5126" width="10.33203125" style="16" customWidth="1"/>
    <col min="5127" max="5127" width="12" style="16" customWidth="1"/>
    <col min="5128" max="5128" width="5.109375" style="16" customWidth="1"/>
    <col min="5129" max="5129" width="11.6640625" style="16" customWidth="1"/>
    <col min="5130" max="5130" width="14.33203125" style="16" customWidth="1"/>
    <col min="5131" max="5131" width="19.109375" style="16" customWidth="1"/>
    <col min="5132" max="5376" width="9.109375" style="16"/>
    <col min="5377" max="5377" width="0.109375" style="16" customWidth="1"/>
    <col min="5378" max="5378" width="10.88671875" style="16" customWidth="1"/>
    <col min="5379" max="5379" width="5.88671875" style="16" customWidth="1"/>
    <col min="5380" max="5380" width="1.109375" style="16" customWidth="1"/>
    <col min="5381" max="5381" width="4" style="16" customWidth="1"/>
    <col min="5382" max="5382" width="10.33203125" style="16" customWidth="1"/>
    <col min="5383" max="5383" width="12" style="16" customWidth="1"/>
    <col min="5384" max="5384" width="5.109375" style="16" customWidth="1"/>
    <col min="5385" max="5385" width="11.6640625" style="16" customWidth="1"/>
    <col min="5386" max="5386" width="14.33203125" style="16" customWidth="1"/>
    <col min="5387" max="5387" width="19.109375" style="16" customWidth="1"/>
    <col min="5388" max="5632" width="9.109375" style="16"/>
    <col min="5633" max="5633" width="0.109375" style="16" customWidth="1"/>
    <col min="5634" max="5634" width="10.88671875" style="16" customWidth="1"/>
    <col min="5635" max="5635" width="5.88671875" style="16" customWidth="1"/>
    <col min="5636" max="5636" width="1.109375" style="16" customWidth="1"/>
    <col min="5637" max="5637" width="4" style="16" customWidth="1"/>
    <col min="5638" max="5638" width="10.33203125" style="16" customWidth="1"/>
    <col min="5639" max="5639" width="12" style="16" customWidth="1"/>
    <col min="5640" max="5640" width="5.109375" style="16" customWidth="1"/>
    <col min="5641" max="5641" width="11.6640625" style="16" customWidth="1"/>
    <col min="5642" max="5642" width="14.33203125" style="16" customWidth="1"/>
    <col min="5643" max="5643" width="19.109375" style="16" customWidth="1"/>
    <col min="5644" max="5888" width="9.109375" style="16"/>
    <col min="5889" max="5889" width="0.109375" style="16" customWidth="1"/>
    <col min="5890" max="5890" width="10.88671875" style="16" customWidth="1"/>
    <col min="5891" max="5891" width="5.88671875" style="16" customWidth="1"/>
    <col min="5892" max="5892" width="1.109375" style="16" customWidth="1"/>
    <col min="5893" max="5893" width="4" style="16" customWidth="1"/>
    <col min="5894" max="5894" width="10.33203125" style="16" customWidth="1"/>
    <col min="5895" max="5895" width="12" style="16" customWidth="1"/>
    <col min="5896" max="5896" width="5.109375" style="16" customWidth="1"/>
    <col min="5897" max="5897" width="11.6640625" style="16" customWidth="1"/>
    <col min="5898" max="5898" width="14.33203125" style="16" customWidth="1"/>
    <col min="5899" max="5899" width="19.109375" style="16" customWidth="1"/>
    <col min="5900" max="6144" width="9.109375" style="16"/>
    <col min="6145" max="6145" width="0.109375" style="16" customWidth="1"/>
    <col min="6146" max="6146" width="10.88671875" style="16" customWidth="1"/>
    <col min="6147" max="6147" width="5.88671875" style="16" customWidth="1"/>
    <col min="6148" max="6148" width="1.109375" style="16" customWidth="1"/>
    <col min="6149" max="6149" width="4" style="16" customWidth="1"/>
    <col min="6150" max="6150" width="10.33203125" style="16" customWidth="1"/>
    <col min="6151" max="6151" width="12" style="16" customWidth="1"/>
    <col min="6152" max="6152" width="5.109375" style="16" customWidth="1"/>
    <col min="6153" max="6153" width="11.6640625" style="16" customWidth="1"/>
    <col min="6154" max="6154" width="14.33203125" style="16" customWidth="1"/>
    <col min="6155" max="6155" width="19.109375" style="16" customWidth="1"/>
    <col min="6156" max="6400" width="9.109375" style="16"/>
    <col min="6401" max="6401" width="0.109375" style="16" customWidth="1"/>
    <col min="6402" max="6402" width="10.88671875" style="16" customWidth="1"/>
    <col min="6403" max="6403" width="5.88671875" style="16" customWidth="1"/>
    <col min="6404" max="6404" width="1.109375" style="16" customWidth="1"/>
    <col min="6405" max="6405" width="4" style="16" customWidth="1"/>
    <col min="6406" max="6406" width="10.33203125" style="16" customWidth="1"/>
    <col min="6407" max="6407" width="12" style="16" customWidth="1"/>
    <col min="6408" max="6408" width="5.109375" style="16" customWidth="1"/>
    <col min="6409" max="6409" width="11.6640625" style="16" customWidth="1"/>
    <col min="6410" max="6410" width="14.33203125" style="16" customWidth="1"/>
    <col min="6411" max="6411" width="19.109375" style="16" customWidth="1"/>
    <col min="6412" max="6656" width="9.109375" style="16"/>
    <col min="6657" max="6657" width="0.109375" style="16" customWidth="1"/>
    <col min="6658" max="6658" width="10.88671875" style="16" customWidth="1"/>
    <col min="6659" max="6659" width="5.88671875" style="16" customWidth="1"/>
    <col min="6660" max="6660" width="1.109375" style="16" customWidth="1"/>
    <col min="6661" max="6661" width="4" style="16" customWidth="1"/>
    <col min="6662" max="6662" width="10.33203125" style="16" customWidth="1"/>
    <col min="6663" max="6663" width="12" style="16" customWidth="1"/>
    <col min="6664" max="6664" width="5.109375" style="16" customWidth="1"/>
    <col min="6665" max="6665" width="11.6640625" style="16" customWidth="1"/>
    <col min="6666" max="6666" width="14.33203125" style="16" customWidth="1"/>
    <col min="6667" max="6667" width="19.109375" style="16" customWidth="1"/>
    <col min="6668" max="6912" width="9.109375" style="16"/>
    <col min="6913" max="6913" width="0.109375" style="16" customWidth="1"/>
    <col min="6914" max="6914" width="10.88671875" style="16" customWidth="1"/>
    <col min="6915" max="6915" width="5.88671875" style="16" customWidth="1"/>
    <col min="6916" max="6916" width="1.109375" style="16" customWidth="1"/>
    <col min="6917" max="6917" width="4" style="16" customWidth="1"/>
    <col min="6918" max="6918" width="10.33203125" style="16" customWidth="1"/>
    <col min="6919" max="6919" width="12" style="16" customWidth="1"/>
    <col min="6920" max="6920" width="5.109375" style="16" customWidth="1"/>
    <col min="6921" max="6921" width="11.6640625" style="16" customWidth="1"/>
    <col min="6922" max="6922" width="14.33203125" style="16" customWidth="1"/>
    <col min="6923" max="6923" width="19.109375" style="16" customWidth="1"/>
    <col min="6924" max="7168" width="9.109375" style="16"/>
    <col min="7169" max="7169" width="0.109375" style="16" customWidth="1"/>
    <col min="7170" max="7170" width="10.88671875" style="16" customWidth="1"/>
    <col min="7171" max="7171" width="5.88671875" style="16" customWidth="1"/>
    <col min="7172" max="7172" width="1.109375" style="16" customWidth="1"/>
    <col min="7173" max="7173" width="4" style="16" customWidth="1"/>
    <col min="7174" max="7174" width="10.33203125" style="16" customWidth="1"/>
    <col min="7175" max="7175" width="12" style="16" customWidth="1"/>
    <col min="7176" max="7176" width="5.109375" style="16" customWidth="1"/>
    <col min="7177" max="7177" width="11.6640625" style="16" customWidth="1"/>
    <col min="7178" max="7178" width="14.33203125" style="16" customWidth="1"/>
    <col min="7179" max="7179" width="19.109375" style="16" customWidth="1"/>
    <col min="7180" max="7424" width="9.109375" style="16"/>
    <col min="7425" max="7425" width="0.109375" style="16" customWidth="1"/>
    <col min="7426" max="7426" width="10.88671875" style="16" customWidth="1"/>
    <col min="7427" max="7427" width="5.88671875" style="16" customWidth="1"/>
    <col min="7428" max="7428" width="1.109375" style="16" customWidth="1"/>
    <col min="7429" max="7429" width="4" style="16" customWidth="1"/>
    <col min="7430" max="7430" width="10.33203125" style="16" customWidth="1"/>
    <col min="7431" max="7431" width="12" style="16" customWidth="1"/>
    <col min="7432" max="7432" width="5.109375" style="16" customWidth="1"/>
    <col min="7433" max="7433" width="11.6640625" style="16" customWidth="1"/>
    <col min="7434" max="7434" width="14.33203125" style="16" customWidth="1"/>
    <col min="7435" max="7435" width="19.109375" style="16" customWidth="1"/>
    <col min="7436" max="7680" width="9.109375" style="16"/>
    <col min="7681" max="7681" width="0.109375" style="16" customWidth="1"/>
    <col min="7682" max="7682" width="10.88671875" style="16" customWidth="1"/>
    <col min="7683" max="7683" width="5.88671875" style="16" customWidth="1"/>
    <col min="7684" max="7684" width="1.109375" style="16" customWidth="1"/>
    <col min="7685" max="7685" width="4" style="16" customWidth="1"/>
    <col min="7686" max="7686" width="10.33203125" style="16" customWidth="1"/>
    <col min="7687" max="7687" width="12" style="16" customWidth="1"/>
    <col min="7688" max="7688" width="5.109375" style="16" customWidth="1"/>
    <col min="7689" max="7689" width="11.6640625" style="16" customWidth="1"/>
    <col min="7690" max="7690" width="14.33203125" style="16" customWidth="1"/>
    <col min="7691" max="7691" width="19.109375" style="16" customWidth="1"/>
    <col min="7692" max="7936" width="9.109375" style="16"/>
    <col min="7937" max="7937" width="0.109375" style="16" customWidth="1"/>
    <col min="7938" max="7938" width="10.88671875" style="16" customWidth="1"/>
    <col min="7939" max="7939" width="5.88671875" style="16" customWidth="1"/>
    <col min="7940" max="7940" width="1.109375" style="16" customWidth="1"/>
    <col min="7941" max="7941" width="4" style="16" customWidth="1"/>
    <col min="7942" max="7942" width="10.33203125" style="16" customWidth="1"/>
    <col min="7943" max="7943" width="12" style="16" customWidth="1"/>
    <col min="7944" max="7944" width="5.109375" style="16" customWidth="1"/>
    <col min="7945" max="7945" width="11.6640625" style="16" customWidth="1"/>
    <col min="7946" max="7946" width="14.33203125" style="16" customWidth="1"/>
    <col min="7947" max="7947" width="19.109375" style="16" customWidth="1"/>
    <col min="7948" max="8192" width="9.109375" style="16"/>
    <col min="8193" max="8193" width="0.109375" style="16" customWidth="1"/>
    <col min="8194" max="8194" width="10.88671875" style="16" customWidth="1"/>
    <col min="8195" max="8195" width="5.88671875" style="16" customWidth="1"/>
    <col min="8196" max="8196" width="1.109375" style="16" customWidth="1"/>
    <col min="8197" max="8197" width="4" style="16" customWidth="1"/>
    <col min="8198" max="8198" width="10.33203125" style="16" customWidth="1"/>
    <col min="8199" max="8199" width="12" style="16" customWidth="1"/>
    <col min="8200" max="8200" width="5.109375" style="16" customWidth="1"/>
    <col min="8201" max="8201" width="11.6640625" style="16" customWidth="1"/>
    <col min="8202" max="8202" width="14.33203125" style="16" customWidth="1"/>
    <col min="8203" max="8203" width="19.109375" style="16" customWidth="1"/>
    <col min="8204" max="8448" width="9.109375" style="16"/>
    <col min="8449" max="8449" width="0.109375" style="16" customWidth="1"/>
    <col min="8450" max="8450" width="10.88671875" style="16" customWidth="1"/>
    <col min="8451" max="8451" width="5.88671875" style="16" customWidth="1"/>
    <col min="8452" max="8452" width="1.109375" style="16" customWidth="1"/>
    <col min="8453" max="8453" width="4" style="16" customWidth="1"/>
    <col min="8454" max="8454" width="10.33203125" style="16" customWidth="1"/>
    <col min="8455" max="8455" width="12" style="16" customWidth="1"/>
    <col min="8456" max="8456" width="5.109375" style="16" customWidth="1"/>
    <col min="8457" max="8457" width="11.6640625" style="16" customWidth="1"/>
    <col min="8458" max="8458" width="14.33203125" style="16" customWidth="1"/>
    <col min="8459" max="8459" width="19.109375" style="16" customWidth="1"/>
    <col min="8460" max="8704" width="9.109375" style="16"/>
    <col min="8705" max="8705" width="0.109375" style="16" customWidth="1"/>
    <col min="8706" max="8706" width="10.88671875" style="16" customWidth="1"/>
    <col min="8707" max="8707" width="5.88671875" style="16" customWidth="1"/>
    <col min="8708" max="8708" width="1.109375" style="16" customWidth="1"/>
    <col min="8709" max="8709" width="4" style="16" customWidth="1"/>
    <col min="8710" max="8710" width="10.33203125" style="16" customWidth="1"/>
    <col min="8711" max="8711" width="12" style="16" customWidth="1"/>
    <col min="8712" max="8712" width="5.109375" style="16" customWidth="1"/>
    <col min="8713" max="8713" width="11.6640625" style="16" customWidth="1"/>
    <col min="8714" max="8714" width="14.33203125" style="16" customWidth="1"/>
    <col min="8715" max="8715" width="19.109375" style="16" customWidth="1"/>
    <col min="8716" max="8960" width="9.109375" style="16"/>
    <col min="8961" max="8961" width="0.109375" style="16" customWidth="1"/>
    <col min="8962" max="8962" width="10.88671875" style="16" customWidth="1"/>
    <col min="8963" max="8963" width="5.88671875" style="16" customWidth="1"/>
    <col min="8964" max="8964" width="1.109375" style="16" customWidth="1"/>
    <col min="8965" max="8965" width="4" style="16" customWidth="1"/>
    <col min="8966" max="8966" width="10.33203125" style="16" customWidth="1"/>
    <col min="8967" max="8967" width="12" style="16" customWidth="1"/>
    <col min="8968" max="8968" width="5.109375" style="16" customWidth="1"/>
    <col min="8969" max="8969" width="11.6640625" style="16" customWidth="1"/>
    <col min="8970" max="8970" width="14.33203125" style="16" customWidth="1"/>
    <col min="8971" max="8971" width="19.109375" style="16" customWidth="1"/>
    <col min="8972" max="9216" width="9.109375" style="16"/>
    <col min="9217" max="9217" width="0.109375" style="16" customWidth="1"/>
    <col min="9218" max="9218" width="10.88671875" style="16" customWidth="1"/>
    <col min="9219" max="9219" width="5.88671875" style="16" customWidth="1"/>
    <col min="9220" max="9220" width="1.109375" style="16" customWidth="1"/>
    <col min="9221" max="9221" width="4" style="16" customWidth="1"/>
    <col min="9222" max="9222" width="10.33203125" style="16" customWidth="1"/>
    <col min="9223" max="9223" width="12" style="16" customWidth="1"/>
    <col min="9224" max="9224" width="5.109375" style="16" customWidth="1"/>
    <col min="9225" max="9225" width="11.6640625" style="16" customWidth="1"/>
    <col min="9226" max="9226" width="14.33203125" style="16" customWidth="1"/>
    <col min="9227" max="9227" width="19.109375" style="16" customWidth="1"/>
    <col min="9228" max="9472" width="9.109375" style="16"/>
    <col min="9473" max="9473" width="0.109375" style="16" customWidth="1"/>
    <col min="9474" max="9474" width="10.88671875" style="16" customWidth="1"/>
    <col min="9475" max="9475" width="5.88671875" style="16" customWidth="1"/>
    <col min="9476" max="9476" width="1.109375" style="16" customWidth="1"/>
    <col min="9477" max="9477" width="4" style="16" customWidth="1"/>
    <col min="9478" max="9478" width="10.33203125" style="16" customWidth="1"/>
    <col min="9479" max="9479" width="12" style="16" customWidth="1"/>
    <col min="9480" max="9480" width="5.109375" style="16" customWidth="1"/>
    <col min="9481" max="9481" width="11.6640625" style="16" customWidth="1"/>
    <col min="9482" max="9482" width="14.33203125" style="16" customWidth="1"/>
    <col min="9483" max="9483" width="19.109375" style="16" customWidth="1"/>
    <col min="9484" max="9728" width="9.109375" style="16"/>
    <col min="9729" max="9729" width="0.109375" style="16" customWidth="1"/>
    <col min="9730" max="9730" width="10.88671875" style="16" customWidth="1"/>
    <col min="9731" max="9731" width="5.88671875" style="16" customWidth="1"/>
    <col min="9732" max="9732" width="1.109375" style="16" customWidth="1"/>
    <col min="9733" max="9733" width="4" style="16" customWidth="1"/>
    <col min="9734" max="9734" width="10.33203125" style="16" customWidth="1"/>
    <col min="9735" max="9735" width="12" style="16" customWidth="1"/>
    <col min="9736" max="9736" width="5.109375" style="16" customWidth="1"/>
    <col min="9737" max="9737" width="11.6640625" style="16" customWidth="1"/>
    <col min="9738" max="9738" width="14.33203125" style="16" customWidth="1"/>
    <col min="9739" max="9739" width="19.109375" style="16" customWidth="1"/>
    <col min="9740" max="9984" width="9.109375" style="16"/>
    <col min="9985" max="9985" width="0.109375" style="16" customWidth="1"/>
    <col min="9986" max="9986" width="10.88671875" style="16" customWidth="1"/>
    <col min="9987" max="9987" width="5.88671875" style="16" customWidth="1"/>
    <col min="9988" max="9988" width="1.109375" style="16" customWidth="1"/>
    <col min="9989" max="9989" width="4" style="16" customWidth="1"/>
    <col min="9990" max="9990" width="10.33203125" style="16" customWidth="1"/>
    <col min="9991" max="9991" width="12" style="16" customWidth="1"/>
    <col min="9992" max="9992" width="5.109375" style="16" customWidth="1"/>
    <col min="9993" max="9993" width="11.6640625" style="16" customWidth="1"/>
    <col min="9994" max="9994" width="14.33203125" style="16" customWidth="1"/>
    <col min="9995" max="9995" width="19.109375" style="16" customWidth="1"/>
    <col min="9996" max="10240" width="9.109375" style="16"/>
    <col min="10241" max="10241" width="0.109375" style="16" customWidth="1"/>
    <col min="10242" max="10242" width="10.88671875" style="16" customWidth="1"/>
    <col min="10243" max="10243" width="5.88671875" style="16" customWidth="1"/>
    <col min="10244" max="10244" width="1.109375" style="16" customWidth="1"/>
    <col min="10245" max="10245" width="4" style="16" customWidth="1"/>
    <col min="10246" max="10246" width="10.33203125" style="16" customWidth="1"/>
    <col min="10247" max="10247" width="12" style="16" customWidth="1"/>
    <col min="10248" max="10248" width="5.109375" style="16" customWidth="1"/>
    <col min="10249" max="10249" width="11.6640625" style="16" customWidth="1"/>
    <col min="10250" max="10250" width="14.33203125" style="16" customWidth="1"/>
    <col min="10251" max="10251" width="19.109375" style="16" customWidth="1"/>
    <col min="10252" max="10496" width="9.109375" style="16"/>
    <col min="10497" max="10497" width="0.109375" style="16" customWidth="1"/>
    <col min="10498" max="10498" width="10.88671875" style="16" customWidth="1"/>
    <col min="10499" max="10499" width="5.88671875" style="16" customWidth="1"/>
    <col min="10500" max="10500" width="1.109375" style="16" customWidth="1"/>
    <col min="10501" max="10501" width="4" style="16" customWidth="1"/>
    <col min="10502" max="10502" width="10.33203125" style="16" customWidth="1"/>
    <col min="10503" max="10503" width="12" style="16" customWidth="1"/>
    <col min="10504" max="10504" width="5.109375" style="16" customWidth="1"/>
    <col min="10505" max="10505" width="11.6640625" style="16" customWidth="1"/>
    <col min="10506" max="10506" width="14.33203125" style="16" customWidth="1"/>
    <col min="10507" max="10507" width="19.109375" style="16" customWidth="1"/>
    <col min="10508" max="10752" width="9.109375" style="16"/>
    <col min="10753" max="10753" width="0.109375" style="16" customWidth="1"/>
    <col min="10754" max="10754" width="10.88671875" style="16" customWidth="1"/>
    <col min="10755" max="10755" width="5.88671875" style="16" customWidth="1"/>
    <col min="10756" max="10756" width="1.109375" style="16" customWidth="1"/>
    <col min="10757" max="10757" width="4" style="16" customWidth="1"/>
    <col min="10758" max="10758" width="10.33203125" style="16" customWidth="1"/>
    <col min="10759" max="10759" width="12" style="16" customWidth="1"/>
    <col min="10760" max="10760" width="5.109375" style="16" customWidth="1"/>
    <col min="10761" max="10761" width="11.6640625" style="16" customWidth="1"/>
    <col min="10762" max="10762" width="14.33203125" style="16" customWidth="1"/>
    <col min="10763" max="10763" width="19.109375" style="16" customWidth="1"/>
    <col min="10764" max="11008" width="9.109375" style="16"/>
    <col min="11009" max="11009" width="0.109375" style="16" customWidth="1"/>
    <col min="11010" max="11010" width="10.88671875" style="16" customWidth="1"/>
    <col min="11011" max="11011" width="5.88671875" style="16" customWidth="1"/>
    <col min="11012" max="11012" width="1.109375" style="16" customWidth="1"/>
    <col min="11013" max="11013" width="4" style="16" customWidth="1"/>
    <col min="11014" max="11014" width="10.33203125" style="16" customWidth="1"/>
    <col min="11015" max="11015" width="12" style="16" customWidth="1"/>
    <col min="11016" max="11016" width="5.109375" style="16" customWidth="1"/>
    <col min="11017" max="11017" width="11.6640625" style="16" customWidth="1"/>
    <col min="11018" max="11018" width="14.33203125" style="16" customWidth="1"/>
    <col min="11019" max="11019" width="19.109375" style="16" customWidth="1"/>
    <col min="11020" max="11264" width="9.109375" style="16"/>
    <col min="11265" max="11265" width="0.109375" style="16" customWidth="1"/>
    <col min="11266" max="11266" width="10.88671875" style="16" customWidth="1"/>
    <col min="11267" max="11267" width="5.88671875" style="16" customWidth="1"/>
    <col min="11268" max="11268" width="1.109375" style="16" customWidth="1"/>
    <col min="11269" max="11269" width="4" style="16" customWidth="1"/>
    <col min="11270" max="11270" width="10.33203125" style="16" customWidth="1"/>
    <col min="11271" max="11271" width="12" style="16" customWidth="1"/>
    <col min="11272" max="11272" width="5.109375" style="16" customWidth="1"/>
    <col min="11273" max="11273" width="11.6640625" style="16" customWidth="1"/>
    <col min="11274" max="11274" width="14.33203125" style="16" customWidth="1"/>
    <col min="11275" max="11275" width="19.109375" style="16" customWidth="1"/>
    <col min="11276" max="11520" width="9.109375" style="16"/>
    <col min="11521" max="11521" width="0.109375" style="16" customWidth="1"/>
    <col min="11522" max="11522" width="10.88671875" style="16" customWidth="1"/>
    <col min="11523" max="11523" width="5.88671875" style="16" customWidth="1"/>
    <col min="11524" max="11524" width="1.109375" style="16" customWidth="1"/>
    <col min="11525" max="11525" width="4" style="16" customWidth="1"/>
    <col min="11526" max="11526" width="10.33203125" style="16" customWidth="1"/>
    <col min="11527" max="11527" width="12" style="16" customWidth="1"/>
    <col min="11528" max="11528" width="5.109375" style="16" customWidth="1"/>
    <col min="11529" max="11529" width="11.6640625" style="16" customWidth="1"/>
    <col min="11530" max="11530" width="14.33203125" style="16" customWidth="1"/>
    <col min="11531" max="11531" width="19.109375" style="16" customWidth="1"/>
    <col min="11532" max="11776" width="9.109375" style="16"/>
    <col min="11777" max="11777" width="0.109375" style="16" customWidth="1"/>
    <col min="11778" max="11778" width="10.88671875" style="16" customWidth="1"/>
    <col min="11779" max="11779" width="5.88671875" style="16" customWidth="1"/>
    <col min="11780" max="11780" width="1.109375" style="16" customWidth="1"/>
    <col min="11781" max="11781" width="4" style="16" customWidth="1"/>
    <col min="11782" max="11782" width="10.33203125" style="16" customWidth="1"/>
    <col min="11783" max="11783" width="12" style="16" customWidth="1"/>
    <col min="11784" max="11784" width="5.109375" style="16" customWidth="1"/>
    <col min="11785" max="11785" width="11.6640625" style="16" customWidth="1"/>
    <col min="11786" max="11786" width="14.33203125" style="16" customWidth="1"/>
    <col min="11787" max="11787" width="19.109375" style="16" customWidth="1"/>
    <col min="11788" max="12032" width="9.109375" style="16"/>
    <col min="12033" max="12033" width="0.109375" style="16" customWidth="1"/>
    <col min="12034" max="12034" width="10.88671875" style="16" customWidth="1"/>
    <col min="12035" max="12035" width="5.88671875" style="16" customWidth="1"/>
    <col min="12036" max="12036" width="1.109375" style="16" customWidth="1"/>
    <col min="12037" max="12037" width="4" style="16" customWidth="1"/>
    <col min="12038" max="12038" width="10.33203125" style="16" customWidth="1"/>
    <col min="12039" max="12039" width="12" style="16" customWidth="1"/>
    <col min="12040" max="12040" width="5.109375" style="16" customWidth="1"/>
    <col min="12041" max="12041" width="11.6640625" style="16" customWidth="1"/>
    <col min="12042" max="12042" width="14.33203125" style="16" customWidth="1"/>
    <col min="12043" max="12043" width="19.109375" style="16" customWidth="1"/>
    <col min="12044" max="12288" width="9.109375" style="16"/>
    <col min="12289" max="12289" width="0.109375" style="16" customWidth="1"/>
    <col min="12290" max="12290" width="10.88671875" style="16" customWidth="1"/>
    <col min="12291" max="12291" width="5.88671875" style="16" customWidth="1"/>
    <col min="12292" max="12292" width="1.109375" style="16" customWidth="1"/>
    <col min="12293" max="12293" width="4" style="16" customWidth="1"/>
    <col min="12294" max="12294" width="10.33203125" style="16" customWidth="1"/>
    <col min="12295" max="12295" width="12" style="16" customWidth="1"/>
    <col min="12296" max="12296" width="5.109375" style="16" customWidth="1"/>
    <col min="12297" max="12297" width="11.6640625" style="16" customWidth="1"/>
    <col min="12298" max="12298" width="14.33203125" style="16" customWidth="1"/>
    <col min="12299" max="12299" width="19.109375" style="16" customWidth="1"/>
    <col min="12300" max="12544" width="9.109375" style="16"/>
    <col min="12545" max="12545" width="0.109375" style="16" customWidth="1"/>
    <col min="12546" max="12546" width="10.88671875" style="16" customWidth="1"/>
    <col min="12547" max="12547" width="5.88671875" style="16" customWidth="1"/>
    <col min="12548" max="12548" width="1.109375" style="16" customWidth="1"/>
    <col min="12549" max="12549" width="4" style="16" customWidth="1"/>
    <col min="12550" max="12550" width="10.33203125" style="16" customWidth="1"/>
    <col min="12551" max="12551" width="12" style="16" customWidth="1"/>
    <col min="12552" max="12552" width="5.109375" style="16" customWidth="1"/>
    <col min="12553" max="12553" width="11.6640625" style="16" customWidth="1"/>
    <col min="12554" max="12554" width="14.33203125" style="16" customWidth="1"/>
    <col min="12555" max="12555" width="19.109375" style="16" customWidth="1"/>
    <col min="12556" max="12800" width="9.109375" style="16"/>
    <col min="12801" max="12801" width="0.109375" style="16" customWidth="1"/>
    <col min="12802" max="12802" width="10.88671875" style="16" customWidth="1"/>
    <col min="12803" max="12803" width="5.88671875" style="16" customWidth="1"/>
    <col min="12804" max="12804" width="1.109375" style="16" customWidth="1"/>
    <col min="12805" max="12805" width="4" style="16" customWidth="1"/>
    <col min="12806" max="12806" width="10.33203125" style="16" customWidth="1"/>
    <col min="12807" max="12807" width="12" style="16" customWidth="1"/>
    <col min="12808" max="12808" width="5.109375" style="16" customWidth="1"/>
    <col min="12809" max="12809" width="11.6640625" style="16" customWidth="1"/>
    <col min="12810" max="12810" width="14.33203125" style="16" customWidth="1"/>
    <col min="12811" max="12811" width="19.109375" style="16" customWidth="1"/>
    <col min="12812" max="13056" width="9.109375" style="16"/>
    <col min="13057" max="13057" width="0.109375" style="16" customWidth="1"/>
    <col min="13058" max="13058" width="10.88671875" style="16" customWidth="1"/>
    <col min="13059" max="13059" width="5.88671875" style="16" customWidth="1"/>
    <col min="13060" max="13060" width="1.109375" style="16" customWidth="1"/>
    <col min="13061" max="13061" width="4" style="16" customWidth="1"/>
    <col min="13062" max="13062" width="10.33203125" style="16" customWidth="1"/>
    <col min="13063" max="13063" width="12" style="16" customWidth="1"/>
    <col min="13064" max="13064" width="5.109375" style="16" customWidth="1"/>
    <col min="13065" max="13065" width="11.6640625" style="16" customWidth="1"/>
    <col min="13066" max="13066" width="14.33203125" style="16" customWidth="1"/>
    <col min="13067" max="13067" width="19.109375" style="16" customWidth="1"/>
    <col min="13068" max="13312" width="9.109375" style="16"/>
    <col min="13313" max="13313" width="0.109375" style="16" customWidth="1"/>
    <col min="13314" max="13314" width="10.88671875" style="16" customWidth="1"/>
    <col min="13315" max="13315" width="5.88671875" style="16" customWidth="1"/>
    <col min="13316" max="13316" width="1.109375" style="16" customWidth="1"/>
    <col min="13317" max="13317" width="4" style="16" customWidth="1"/>
    <col min="13318" max="13318" width="10.33203125" style="16" customWidth="1"/>
    <col min="13319" max="13319" width="12" style="16" customWidth="1"/>
    <col min="13320" max="13320" width="5.109375" style="16" customWidth="1"/>
    <col min="13321" max="13321" width="11.6640625" style="16" customWidth="1"/>
    <col min="13322" max="13322" width="14.33203125" style="16" customWidth="1"/>
    <col min="13323" max="13323" width="19.109375" style="16" customWidth="1"/>
    <col min="13324" max="13568" width="9.109375" style="16"/>
    <col min="13569" max="13569" width="0.109375" style="16" customWidth="1"/>
    <col min="13570" max="13570" width="10.88671875" style="16" customWidth="1"/>
    <col min="13571" max="13571" width="5.88671875" style="16" customWidth="1"/>
    <col min="13572" max="13572" width="1.109375" style="16" customWidth="1"/>
    <col min="13573" max="13573" width="4" style="16" customWidth="1"/>
    <col min="13574" max="13574" width="10.33203125" style="16" customWidth="1"/>
    <col min="13575" max="13575" width="12" style="16" customWidth="1"/>
    <col min="13576" max="13576" width="5.109375" style="16" customWidth="1"/>
    <col min="13577" max="13577" width="11.6640625" style="16" customWidth="1"/>
    <col min="13578" max="13578" width="14.33203125" style="16" customWidth="1"/>
    <col min="13579" max="13579" width="19.109375" style="16" customWidth="1"/>
    <col min="13580" max="13824" width="9.109375" style="16"/>
    <col min="13825" max="13825" width="0.109375" style="16" customWidth="1"/>
    <col min="13826" max="13826" width="10.88671875" style="16" customWidth="1"/>
    <col min="13827" max="13827" width="5.88671875" style="16" customWidth="1"/>
    <col min="13828" max="13828" width="1.109375" style="16" customWidth="1"/>
    <col min="13829" max="13829" width="4" style="16" customWidth="1"/>
    <col min="13830" max="13830" width="10.33203125" style="16" customWidth="1"/>
    <col min="13831" max="13831" width="12" style="16" customWidth="1"/>
    <col min="13832" max="13832" width="5.109375" style="16" customWidth="1"/>
    <col min="13833" max="13833" width="11.6640625" style="16" customWidth="1"/>
    <col min="13834" max="13834" width="14.33203125" style="16" customWidth="1"/>
    <col min="13835" max="13835" width="19.109375" style="16" customWidth="1"/>
    <col min="13836" max="14080" width="9.109375" style="16"/>
    <col min="14081" max="14081" width="0.109375" style="16" customWidth="1"/>
    <col min="14082" max="14082" width="10.88671875" style="16" customWidth="1"/>
    <col min="14083" max="14083" width="5.88671875" style="16" customWidth="1"/>
    <col min="14084" max="14084" width="1.109375" style="16" customWidth="1"/>
    <col min="14085" max="14085" width="4" style="16" customWidth="1"/>
    <col min="14086" max="14086" width="10.33203125" style="16" customWidth="1"/>
    <col min="14087" max="14087" width="12" style="16" customWidth="1"/>
    <col min="14088" max="14088" width="5.109375" style="16" customWidth="1"/>
    <col min="14089" max="14089" width="11.6640625" style="16" customWidth="1"/>
    <col min="14090" max="14090" width="14.33203125" style="16" customWidth="1"/>
    <col min="14091" max="14091" width="19.109375" style="16" customWidth="1"/>
    <col min="14092" max="14336" width="9.109375" style="16"/>
    <col min="14337" max="14337" width="0.109375" style="16" customWidth="1"/>
    <col min="14338" max="14338" width="10.88671875" style="16" customWidth="1"/>
    <col min="14339" max="14339" width="5.88671875" style="16" customWidth="1"/>
    <col min="14340" max="14340" width="1.109375" style="16" customWidth="1"/>
    <col min="14341" max="14341" width="4" style="16" customWidth="1"/>
    <col min="14342" max="14342" width="10.33203125" style="16" customWidth="1"/>
    <col min="14343" max="14343" width="12" style="16" customWidth="1"/>
    <col min="14344" max="14344" width="5.109375" style="16" customWidth="1"/>
    <col min="14345" max="14345" width="11.6640625" style="16" customWidth="1"/>
    <col min="14346" max="14346" width="14.33203125" style="16" customWidth="1"/>
    <col min="14347" max="14347" width="19.109375" style="16" customWidth="1"/>
    <col min="14348" max="14592" width="9.109375" style="16"/>
    <col min="14593" max="14593" width="0.109375" style="16" customWidth="1"/>
    <col min="14594" max="14594" width="10.88671875" style="16" customWidth="1"/>
    <col min="14595" max="14595" width="5.88671875" style="16" customWidth="1"/>
    <col min="14596" max="14596" width="1.109375" style="16" customWidth="1"/>
    <col min="14597" max="14597" width="4" style="16" customWidth="1"/>
    <col min="14598" max="14598" width="10.33203125" style="16" customWidth="1"/>
    <col min="14599" max="14599" width="12" style="16" customWidth="1"/>
    <col min="14600" max="14600" width="5.109375" style="16" customWidth="1"/>
    <col min="14601" max="14601" width="11.6640625" style="16" customWidth="1"/>
    <col min="14602" max="14602" width="14.33203125" style="16" customWidth="1"/>
    <col min="14603" max="14603" width="19.109375" style="16" customWidth="1"/>
    <col min="14604" max="14848" width="9.109375" style="16"/>
    <col min="14849" max="14849" width="0.109375" style="16" customWidth="1"/>
    <col min="14850" max="14850" width="10.88671875" style="16" customWidth="1"/>
    <col min="14851" max="14851" width="5.88671875" style="16" customWidth="1"/>
    <col min="14852" max="14852" width="1.109375" style="16" customWidth="1"/>
    <col min="14853" max="14853" width="4" style="16" customWidth="1"/>
    <col min="14854" max="14854" width="10.33203125" style="16" customWidth="1"/>
    <col min="14855" max="14855" width="12" style="16" customWidth="1"/>
    <col min="14856" max="14856" width="5.109375" style="16" customWidth="1"/>
    <col min="14857" max="14857" width="11.6640625" style="16" customWidth="1"/>
    <col min="14858" max="14858" width="14.33203125" style="16" customWidth="1"/>
    <col min="14859" max="14859" width="19.109375" style="16" customWidth="1"/>
    <col min="14860" max="15104" width="9.109375" style="16"/>
    <col min="15105" max="15105" width="0.109375" style="16" customWidth="1"/>
    <col min="15106" max="15106" width="10.88671875" style="16" customWidth="1"/>
    <col min="15107" max="15107" width="5.88671875" style="16" customWidth="1"/>
    <col min="15108" max="15108" width="1.109375" style="16" customWidth="1"/>
    <col min="15109" max="15109" width="4" style="16" customWidth="1"/>
    <col min="15110" max="15110" width="10.33203125" style="16" customWidth="1"/>
    <col min="15111" max="15111" width="12" style="16" customWidth="1"/>
    <col min="15112" max="15112" width="5.109375" style="16" customWidth="1"/>
    <col min="15113" max="15113" width="11.6640625" style="16" customWidth="1"/>
    <col min="15114" max="15114" width="14.33203125" style="16" customWidth="1"/>
    <col min="15115" max="15115" width="19.109375" style="16" customWidth="1"/>
    <col min="15116" max="15360" width="9.109375" style="16"/>
    <col min="15361" max="15361" width="0.109375" style="16" customWidth="1"/>
    <col min="15362" max="15362" width="10.88671875" style="16" customWidth="1"/>
    <col min="15363" max="15363" width="5.88671875" style="16" customWidth="1"/>
    <col min="15364" max="15364" width="1.109375" style="16" customWidth="1"/>
    <col min="15365" max="15365" width="4" style="16" customWidth="1"/>
    <col min="15366" max="15366" width="10.33203125" style="16" customWidth="1"/>
    <col min="15367" max="15367" width="12" style="16" customWidth="1"/>
    <col min="15368" max="15368" width="5.109375" style="16" customWidth="1"/>
    <col min="15369" max="15369" width="11.6640625" style="16" customWidth="1"/>
    <col min="15370" max="15370" width="14.33203125" style="16" customWidth="1"/>
    <col min="15371" max="15371" width="19.109375" style="16" customWidth="1"/>
    <col min="15372" max="15616" width="9.109375" style="16"/>
    <col min="15617" max="15617" width="0.109375" style="16" customWidth="1"/>
    <col min="15618" max="15618" width="10.88671875" style="16" customWidth="1"/>
    <col min="15619" max="15619" width="5.88671875" style="16" customWidth="1"/>
    <col min="15620" max="15620" width="1.109375" style="16" customWidth="1"/>
    <col min="15621" max="15621" width="4" style="16" customWidth="1"/>
    <col min="15622" max="15622" width="10.33203125" style="16" customWidth="1"/>
    <col min="15623" max="15623" width="12" style="16" customWidth="1"/>
    <col min="15624" max="15624" width="5.109375" style="16" customWidth="1"/>
    <col min="15625" max="15625" width="11.6640625" style="16" customWidth="1"/>
    <col min="15626" max="15626" width="14.33203125" style="16" customWidth="1"/>
    <col min="15627" max="15627" width="19.109375" style="16" customWidth="1"/>
    <col min="15628" max="15872" width="9.109375" style="16"/>
    <col min="15873" max="15873" width="0.109375" style="16" customWidth="1"/>
    <col min="15874" max="15874" width="10.88671875" style="16" customWidth="1"/>
    <col min="15875" max="15875" width="5.88671875" style="16" customWidth="1"/>
    <col min="15876" max="15876" width="1.109375" style="16" customWidth="1"/>
    <col min="15877" max="15877" width="4" style="16" customWidth="1"/>
    <col min="15878" max="15878" width="10.33203125" style="16" customWidth="1"/>
    <col min="15879" max="15879" width="12" style="16" customWidth="1"/>
    <col min="15880" max="15880" width="5.109375" style="16" customWidth="1"/>
    <col min="15881" max="15881" width="11.6640625" style="16" customWidth="1"/>
    <col min="15882" max="15882" width="14.33203125" style="16" customWidth="1"/>
    <col min="15883" max="15883" width="19.109375" style="16" customWidth="1"/>
    <col min="15884" max="16128" width="9.109375" style="16"/>
    <col min="16129" max="16129" width="0.109375" style="16" customWidth="1"/>
    <col min="16130" max="16130" width="10.88671875" style="16" customWidth="1"/>
    <col min="16131" max="16131" width="5.88671875" style="16" customWidth="1"/>
    <col min="16132" max="16132" width="1.109375" style="16" customWidth="1"/>
    <col min="16133" max="16133" width="4" style="16" customWidth="1"/>
    <col min="16134" max="16134" width="10.33203125" style="16" customWidth="1"/>
    <col min="16135" max="16135" width="12" style="16" customWidth="1"/>
    <col min="16136" max="16136" width="5.109375" style="16" customWidth="1"/>
    <col min="16137" max="16137" width="11.6640625" style="16" customWidth="1"/>
    <col min="16138" max="16138" width="14.33203125" style="16" customWidth="1"/>
    <col min="16139" max="16139" width="19.109375" style="16" customWidth="1"/>
    <col min="16140" max="16384" width="9.109375" style="16"/>
  </cols>
  <sheetData>
    <row r="1" spans="1:13" ht="58.2" customHeight="1">
      <c r="A1" s="15"/>
      <c r="B1" s="540"/>
      <c r="C1" s="541"/>
      <c r="D1" s="541"/>
      <c r="E1" s="541"/>
      <c r="F1" s="541"/>
      <c r="G1" s="541"/>
      <c r="H1" s="541"/>
      <c r="I1" s="541"/>
      <c r="J1" s="541"/>
      <c r="K1" s="542"/>
    </row>
    <row r="2" spans="1:13" ht="10.95" customHeight="1">
      <c r="A2" s="17"/>
      <c r="B2" s="543" t="s">
        <v>211</v>
      </c>
      <c r="C2" s="544"/>
      <c r="D2" s="544"/>
      <c r="E2" s="544"/>
      <c r="F2" s="544"/>
      <c r="G2" s="544"/>
      <c r="H2" s="544"/>
      <c r="I2" s="544"/>
      <c r="J2" s="544"/>
      <c r="K2" s="545"/>
    </row>
    <row r="3" spans="1:13">
      <c r="A3" s="17"/>
      <c r="B3" s="546" t="s">
        <v>329</v>
      </c>
      <c r="C3" s="547"/>
      <c r="D3" s="547"/>
      <c r="E3" s="547"/>
      <c r="F3" s="547"/>
      <c r="G3" s="547"/>
      <c r="H3" s="552" t="s">
        <v>212</v>
      </c>
      <c r="I3" s="552"/>
      <c r="J3" s="552"/>
      <c r="K3" s="553"/>
    </row>
    <row r="4" spans="1:13">
      <c r="A4" s="17"/>
      <c r="B4" s="548"/>
      <c r="C4" s="549"/>
      <c r="D4" s="549"/>
      <c r="E4" s="549"/>
      <c r="F4" s="549"/>
      <c r="G4" s="549"/>
      <c r="H4" s="554" t="s">
        <v>213</v>
      </c>
      <c r="I4" s="554"/>
      <c r="J4" s="554"/>
      <c r="K4" s="555"/>
    </row>
    <row r="5" spans="1:13">
      <c r="A5" s="17"/>
      <c r="B5" s="550"/>
      <c r="C5" s="551"/>
      <c r="D5" s="551"/>
      <c r="E5" s="551"/>
      <c r="F5" s="551"/>
      <c r="G5" s="551"/>
      <c r="H5" s="556" t="s">
        <v>214</v>
      </c>
      <c r="I5" s="556"/>
      <c r="J5" s="556"/>
      <c r="K5" s="557"/>
    </row>
    <row r="6" spans="1:13">
      <c r="A6" s="17"/>
      <c r="B6" s="511" t="s">
        <v>215</v>
      </c>
      <c r="C6" s="512"/>
      <c r="D6" s="512"/>
      <c r="E6" s="512"/>
      <c r="F6" s="512"/>
      <c r="G6" s="512"/>
      <c r="H6" s="512"/>
      <c r="I6" s="512"/>
      <c r="J6" s="512"/>
      <c r="K6" s="513"/>
    </row>
    <row r="7" spans="1:13" ht="39.6" customHeight="1">
      <c r="A7" s="17"/>
      <c r="B7" s="533" t="s">
        <v>234</v>
      </c>
      <c r="C7" s="534"/>
      <c r="D7" s="534"/>
      <c r="E7" s="534"/>
      <c r="F7" s="534"/>
      <c r="G7" s="534"/>
      <c r="H7" s="534"/>
      <c r="I7" s="534"/>
      <c r="J7" s="534"/>
      <c r="K7" s="535"/>
    </row>
    <row r="8" spans="1:13">
      <c r="A8" s="17"/>
      <c r="B8" s="511" t="s">
        <v>216</v>
      </c>
      <c r="C8" s="512"/>
      <c r="D8" s="512"/>
      <c r="E8" s="512"/>
      <c r="F8" s="512"/>
      <c r="G8" s="512"/>
      <c r="H8" s="512"/>
      <c r="I8" s="512"/>
      <c r="J8" s="512"/>
      <c r="K8" s="513"/>
    </row>
    <row r="9" spans="1:13" ht="36.75" customHeight="1">
      <c r="A9" s="15"/>
      <c r="B9" s="536" t="s">
        <v>335</v>
      </c>
      <c r="C9" s="537"/>
      <c r="D9" s="537"/>
      <c r="E9" s="537"/>
      <c r="F9" s="537"/>
      <c r="G9" s="537"/>
      <c r="H9" s="537"/>
      <c r="I9" s="537"/>
      <c r="J9" s="537"/>
      <c r="K9" s="538"/>
      <c r="L9" s="22" t="s">
        <v>120</v>
      </c>
    </row>
    <row r="10" spans="1:13" ht="15" customHeight="1">
      <c r="A10" s="15"/>
      <c r="B10" s="511" t="s">
        <v>338</v>
      </c>
      <c r="C10" s="512"/>
      <c r="D10" s="512"/>
      <c r="E10" s="512"/>
      <c r="F10" s="512"/>
      <c r="G10" s="512"/>
      <c r="H10" s="512"/>
      <c r="I10" s="512"/>
      <c r="J10" s="512"/>
      <c r="K10" s="513"/>
      <c r="L10" s="22"/>
    </row>
    <row r="11" spans="1:13" ht="22.5" customHeight="1">
      <c r="A11" s="15"/>
      <c r="B11" s="536" t="s">
        <v>337</v>
      </c>
      <c r="C11" s="537"/>
      <c r="D11" s="537"/>
      <c r="E11" s="537"/>
      <c r="F11" s="537"/>
      <c r="G11" s="537"/>
      <c r="H11" s="537"/>
      <c r="I11" s="537"/>
      <c r="J11" s="537"/>
      <c r="K11" s="538"/>
      <c r="L11" s="22"/>
      <c r="M11" s="22" t="s">
        <v>120</v>
      </c>
    </row>
    <row r="12" spans="1:13" ht="15.6" customHeight="1">
      <c r="A12" s="511" t="s">
        <v>217</v>
      </c>
      <c r="B12" s="512"/>
      <c r="C12" s="512"/>
      <c r="D12" s="512"/>
      <c r="E12" s="512"/>
      <c r="F12" s="512"/>
      <c r="G12" s="512"/>
      <c r="H12" s="512"/>
      <c r="I12" s="512"/>
      <c r="J12" s="512"/>
      <c r="K12" s="539"/>
    </row>
    <row r="13" spans="1:13" ht="30" customHeight="1">
      <c r="A13" s="17"/>
      <c r="B13" s="530" t="s">
        <v>336</v>
      </c>
      <c r="C13" s="531"/>
      <c r="D13" s="531"/>
      <c r="E13" s="531"/>
      <c r="F13" s="531"/>
      <c r="G13" s="531"/>
      <c r="H13" s="531"/>
      <c r="I13" s="531"/>
      <c r="J13" s="531"/>
      <c r="K13" s="532"/>
    </row>
    <row r="14" spans="1:13" ht="15" customHeight="1">
      <c r="A14" s="17"/>
      <c r="B14" s="511" t="s">
        <v>218</v>
      </c>
      <c r="C14" s="512"/>
      <c r="D14" s="512"/>
      <c r="E14" s="512"/>
      <c r="F14" s="512"/>
      <c r="G14" s="512"/>
      <c r="H14" s="512"/>
      <c r="I14" s="512"/>
      <c r="J14" s="512"/>
      <c r="K14" s="513"/>
    </row>
    <row r="15" spans="1:13" ht="15" customHeight="1">
      <c r="A15" s="17"/>
      <c r="B15" s="514" t="s">
        <v>219</v>
      </c>
      <c r="C15" s="515"/>
      <c r="D15" s="515"/>
      <c r="E15" s="515"/>
      <c r="F15" s="515"/>
      <c r="G15" s="515"/>
      <c r="H15" s="515"/>
      <c r="I15" s="515"/>
      <c r="J15" s="515"/>
      <c r="K15" s="516"/>
    </row>
    <row r="16" spans="1:13" ht="15" customHeight="1">
      <c r="A16" s="17"/>
      <c r="B16" s="514" t="s">
        <v>220</v>
      </c>
      <c r="C16" s="515"/>
      <c r="D16" s="515"/>
      <c r="E16" s="515"/>
      <c r="F16" s="515"/>
      <c r="G16" s="515"/>
      <c r="H16" s="515"/>
      <c r="I16" s="515"/>
      <c r="J16" s="515"/>
      <c r="K16" s="516"/>
    </row>
    <row r="17" spans="1:12" ht="15" customHeight="1">
      <c r="A17" s="17"/>
      <c r="B17" s="517"/>
      <c r="C17" s="518"/>
      <c r="D17" s="518"/>
      <c r="E17" s="518"/>
      <c r="F17" s="518"/>
      <c r="G17" s="518"/>
      <c r="H17" s="518"/>
      <c r="I17" s="518"/>
      <c r="J17" s="518"/>
      <c r="K17" s="519"/>
    </row>
    <row r="18" spans="1:12">
      <c r="A18" s="18"/>
      <c r="B18" s="520" t="s">
        <v>235</v>
      </c>
      <c r="C18" s="521"/>
      <c r="D18" s="521"/>
      <c r="E18" s="521"/>
      <c r="F18" s="521"/>
      <c r="G18" s="521"/>
      <c r="H18" s="521"/>
      <c r="I18" s="521"/>
      <c r="J18" s="521"/>
      <c r="K18" s="522"/>
    </row>
    <row r="19" spans="1:12" ht="401.4" customHeight="1">
      <c r="A19" s="17"/>
      <c r="B19" s="523" t="s">
        <v>808</v>
      </c>
      <c r="C19" s="524"/>
      <c r="D19" s="524"/>
      <c r="E19" s="524"/>
      <c r="F19" s="524"/>
      <c r="G19" s="524"/>
      <c r="H19" s="524"/>
      <c r="I19" s="524"/>
      <c r="J19" s="524"/>
      <c r="K19" s="525"/>
    </row>
    <row r="20" spans="1:12">
      <c r="A20" s="17"/>
      <c r="B20" s="520" t="s">
        <v>236</v>
      </c>
      <c r="C20" s="521"/>
      <c r="D20" s="521"/>
      <c r="E20" s="521"/>
      <c r="F20" s="521"/>
      <c r="G20" s="521"/>
      <c r="H20" s="521"/>
      <c r="I20" s="521"/>
      <c r="J20" s="521"/>
      <c r="K20" s="522"/>
    </row>
    <row r="21" spans="1:12" ht="22.5" customHeight="1">
      <c r="A21" s="17"/>
      <c r="B21" s="526" t="s">
        <v>243</v>
      </c>
      <c r="C21" s="527"/>
      <c r="D21" s="527"/>
      <c r="E21" s="527"/>
      <c r="F21" s="527"/>
      <c r="G21" s="527"/>
      <c r="H21" s="527"/>
      <c r="I21" s="527"/>
      <c r="J21" s="527"/>
      <c r="K21" s="528"/>
    </row>
    <row r="22" spans="1:12" ht="16.2" customHeight="1">
      <c r="A22" s="17"/>
      <c r="B22" s="529" t="s">
        <v>221</v>
      </c>
      <c r="C22" s="529"/>
      <c r="D22" s="529"/>
      <c r="E22" s="529"/>
      <c r="F22" s="529"/>
      <c r="G22" s="529"/>
      <c r="H22" s="529"/>
      <c r="I22" s="529"/>
      <c r="J22" s="529"/>
      <c r="K22" s="529"/>
    </row>
    <row r="23" spans="1:12" ht="15" customHeight="1">
      <c r="A23" s="17"/>
      <c r="B23" s="506" t="s">
        <v>222</v>
      </c>
      <c r="C23" s="507"/>
      <c r="D23" s="508">
        <v>45</v>
      </c>
      <c r="E23" s="508"/>
      <c r="F23" s="19" t="s">
        <v>223</v>
      </c>
      <c r="G23" s="509" t="s">
        <v>224</v>
      </c>
      <c r="H23" s="507"/>
      <c r="I23" s="507"/>
      <c r="J23" s="507"/>
      <c r="K23" s="510"/>
    </row>
    <row r="24" spans="1:12" ht="15" customHeight="1">
      <c r="A24" s="17"/>
      <c r="B24" s="494" t="s">
        <v>225</v>
      </c>
      <c r="C24" s="495"/>
      <c r="D24" s="499" t="s">
        <v>226</v>
      </c>
      <c r="E24" s="499"/>
      <c r="F24" s="19" t="s">
        <v>227</v>
      </c>
      <c r="G24" s="500" t="s">
        <v>228</v>
      </c>
      <c r="H24" s="495"/>
      <c r="I24" s="495"/>
      <c r="J24" s="495"/>
      <c r="K24" s="501"/>
    </row>
    <row r="25" spans="1:12" ht="22.5" customHeight="1">
      <c r="A25" s="17"/>
      <c r="B25" s="502" t="s">
        <v>225</v>
      </c>
      <c r="C25" s="503"/>
      <c r="D25" s="499" t="s">
        <v>230</v>
      </c>
      <c r="E25" s="499"/>
      <c r="F25" s="20" t="s">
        <v>240</v>
      </c>
      <c r="G25" s="504" t="s">
        <v>231</v>
      </c>
      <c r="H25" s="504"/>
      <c r="I25" s="504"/>
      <c r="J25" s="504"/>
      <c r="K25" s="505"/>
    </row>
    <row r="26" spans="1:12" ht="15" customHeight="1">
      <c r="A26" s="17"/>
      <c r="B26" s="494" t="s">
        <v>229</v>
      </c>
      <c r="C26" s="495"/>
      <c r="D26" s="496" t="s">
        <v>237</v>
      </c>
      <c r="E26" s="496"/>
      <c r="F26" s="19" t="s">
        <v>232</v>
      </c>
      <c r="G26" s="497" t="s">
        <v>233</v>
      </c>
      <c r="H26" s="497"/>
      <c r="I26" s="497"/>
      <c r="J26" s="497"/>
      <c r="K26" s="498"/>
    </row>
    <row r="27" spans="1:12" ht="22.5" customHeight="1">
      <c r="A27" s="17"/>
      <c r="B27" s="484" t="s">
        <v>238</v>
      </c>
      <c r="C27" s="485"/>
      <c r="D27" s="485"/>
      <c r="E27" s="485"/>
      <c r="F27" s="485"/>
      <c r="G27" s="485"/>
      <c r="H27" s="485"/>
      <c r="I27" s="486"/>
      <c r="J27" s="487">
        <f>'ODCINEK B'!I2470+'ODCINEK C'!I166</f>
        <v>0</v>
      </c>
      <c r="K27" s="488"/>
    </row>
    <row r="28" spans="1:12" ht="27.75" customHeight="1">
      <c r="A28" s="17"/>
      <c r="B28" s="489" t="s">
        <v>239</v>
      </c>
      <c r="C28" s="490"/>
      <c r="D28" s="21"/>
      <c r="E28" s="491"/>
      <c r="F28" s="492"/>
      <c r="G28" s="492"/>
      <c r="H28" s="492"/>
      <c r="I28" s="492"/>
      <c r="J28" s="492"/>
      <c r="K28" s="493"/>
      <c r="L28" s="22" t="s">
        <v>120</v>
      </c>
    </row>
    <row r="29" spans="1:12" ht="13.2" customHeight="1"/>
    <row r="30" spans="1:12" ht="27.6" customHeight="1"/>
    <row r="31" spans="1:12" ht="27.6" customHeight="1"/>
  </sheetData>
  <mergeCells count="39">
    <mergeCell ref="B1:K1"/>
    <mergeCell ref="B2:K2"/>
    <mergeCell ref="B3:G5"/>
    <mergeCell ref="H3:K3"/>
    <mergeCell ref="H4:K4"/>
    <mergeCell ref="H5:K5"/>
    <mergeCell ref="B13:K13"/>
    <mergeCell ref="B6:K6"/>
    <mergeCell ref="B7:K7"/>
    <mergeCell ref="B8:K8"/>
    <mergeCell ref="B9:K9"/>
    <mergeCell ref="A12:K12"/>
    <mergeCell ref="B10:K10"/>
    <mergeCell ref="B11:K11"/>
    <mergeCell ref="B23:C23"/>
    <mergeCell ref="D23:E23"/>
    <mergeCell ref="G23:K23"/>
    <mergeCell ref="B14:K14"/>
    <mergeCell ref="B15:K15"/>
    <mergeCell ref="B16:K16"/>
    <mergeCell ref="B17:K17"/>
    <mergeCell ref="B18:K18"/>
    <mergeCell ref="B19:K19"/>
    <mergeCell ref="B20:K20"/>
    <mergeCell ref="B21:K21"/>
    <mergeCell ref="B22:K22"/>
    <mergeCell ref="B24:C24"/>
    <mergeCell ref="D24:E24"/>
    <mergeCell ref="G24:K24"/>
    <mergeCell ref="B25:C25"/>
    <mergeCell ref="D25:E25"/>
    <mergeCell ref="G25:K25"/>
    <mergeCell ref="B27:I27"/>
    <mergeCell ref="J27:K27"/>
    <mergeCell ref="B28:C28"/>
    <mergeCell ref="E28:K28"/>
    <mergeCell ref="B26:C26"/>
    <mergeCell ref="D26:E26"/>
    <mergeCell ref="G26:K26"/>
  </mergeCells>
  <pageMargins left="0.70866141732283472" right="0.70866141732283472" top="0.74803149606299213" bottom="0.74803149606299213" header="0.31496062992125984" footer="0.31496062992125984"/>
  <pageSetup paperSize="9" scale="83" orientation="portrait" useFirstPageNumber="1" r:id="rId1"/>
  <headerFooter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FAEB-F724-4BC3-A73F-1BD0C3F67BDC}">
  <sheetPr>
    <tabColor theme="5" tint="0.59999389629810485"/>
  </sheetPr>
  <dimension ref="A1:L2471"/>
  <sheetViews>
    <sheetView tabSelected="1" view="pageBreakPreview" topLeftCell="C1782" zoomScale="70" zoomScaleNormal="100" zoomScaleSheetLayoutView="70" workbookViewId="0">
      <selection activeCell="E1793" sqref="E1793"/>
    </sheetView>
  </sheetViews>
  <sheetFormatPr defaultColWidth="9.109375" defaultRowHeight="11.4" outlineLevelCol="1"/>
  <cols>
    <col min="1" max="1" width="8" style="3" hidden="1" customWidth="1" outlineLevel="1"/>
    <col min="2" max="2" width="10.6640625" style="3" customWidth="1" collapsed="1"/>
    <col min="3" max="3" width="10.88671875" style="5" bestFit="1" customWidth="1"/>
    <col min="4" max="4" width="8.6640625" style="5" customWidth="1"/>
    <col min="5" max="5" width="52.33203125" style="8" customWidth="1"/>
    <col min="6" max="6" width="5.6640625" style="4" customWidth="1"/>
    <col min="7" max="7" width="10.33203125" style="4" customWidth="1"/>
    <col min="8" max="8" width="12" style="4" customWidth="1"/>
    <col min="9" max="9" width="22.33203125" style="2" customWidth="1"/>
    <col min="10" max="11" width="9.109375" style="8"/>
    <col min="12" max="12" width="9.109375" style="51" customWidth="1"/>
    <col min="13" max="16384" width="9.109375" style="8"/>
  </cols>
  <sheetData>
    <row r="1" spans="1:12" ht="36" customHeight="1">
      <c r="A1" s="11"/>
      <c r="B1" s="373" t="s">
        <v>334</v>
      </c>
      <c r="C1" s="567" t="s">
        <v>331</v>
      </c>
      <c r="D1" s="568"/>
      <c r="E1" s="569"/>
      <c r="F1" s="569"/>
      <c r="G1" s="569"/>
      <c r="H1" s="569"/>
      <c r="I1" s="570"/>
    </row>
    <row r="2" spans="1:12" ht="24">
      <c r="A2" s="1" t="s">
        <v>0</v>
      </c>
      <c r="B2" s="204" t="s">
        <v>0</v>
      </c>
      <c r="C2" s="404" t="s">
        <v>210</v>
      </c>
      <c r="D2" s="404" t="s">
        <v>333</v>
      </c>
      <c r="E2" s="405" t="s">
        <v>203</v>
      </c>
      <c r="F2" s="405" t="s">
        <v>204</v>
      </c>
      <c r="G2" s="405" t="s">
        <v>1</v>
      </c>
      <c r="H2" s="41" t="s">
        <v>111</v>
      </c>
      <c r="I2" s="406" t="s">
        <v>112</v>
      </c>
    </row>
    <row r="3" spans="1:12" ht="13.2">
      <c r="A3" s="6" t="s">
        <v>5</v>
      </c>
      <c r="B3" s="367" t="s">
        <v>247</v>
      </c>
      <c r="C3" s="375" t="s">
        <v>171</v>
      </c>
      <c r="D3" s="374"/>
      <c r="E3" s="376" t="s">
        <v>14</v>
      </c>
      <c r="F3" s="377"/>
      <c r="G3" s="378"/>
      <c r="H3" s="379"/>
      <c r="I3" s="380"/>
    </row>
    <row r="4" spans="1:12" s="27" customFormat="1" ht="13.2">
      <c r="A4" s="28" t="s">
        <v>18</v>
      </c>
      <c r="B4" s="367" t="s">
        <v>248</v>
      </c>
      <c r="C4" s="60" t="s">
        <v>166</v>
      </c>
      <c r="D4" s="60"/>
      <c r="E4" s="61" t="s">
        <v>116</v>
      </c>
      <c r="F4" s="62" t="s">
        <v>13</v>
      </c>
      <c r="G4" s="63" t="s">
        <v>13</v>
      </c>
      <c r="H4" s="64"/>
      <c r="I4" s="65" t="s">
        <v>13</v>
      </c>
      <c r="L4" s="52"/>
    </row>
    <row r="5" spans="1:12" s="27" customFormat="1" ht="22.8">
      <c r="A5" s="26" t="s">
        <v>19</v>
      </c>
      <c r="B5" s="368" t="s">
        <v>249</v>
      </c>
      <c r="C5" s="66"/>
      <c r="D5" s="66"/>
      <c r="E5" s="67" t="s">
        <v>160</v>
      </c>
      <c r="F5" s="62" t="s">
        <v>17</v>
      </c>
      <c r="G5" s="68">
        <f>1.07*12.6*2</f>
        <v>26.96</v>
      </c>
      <c r="H5" s="186">
        <v>0</v>
      </c>
      <c r="I5" s="70">
        <f t="shared" ref="I5" si="0">ROUND($G5*H5,2)</f>
        <v>0</v>
      </c>
      <c r="L5" s="52"/>
    </row>
    <row r="6" spans="1:12" s="27" customFormat="1" ht="13.2">
      <c r="A6" s="28" t="s">
        <v>6</v>
      </c>
      <c r="B6" s="367" t="s">
        <v>250</v>
      </c>
      <c r="C6" s="375" t="s">
        <v>172</v>
      </c>
      <c r="D6" s="374"/>
      <c r="E6" s="376" t="s">
        <v>20</v>
      </c>
      <c r="F6" s="377"/>
      <c r="G6" s="381"/>
      <c r="H6" s="382"/>
      <c r="I6" s="380"/>
      <c r="L6" s="52"/>
    </row>
    <row r="7" spans="1:12" s="27" customFormat="1" ht="24">
      <c r="A7" s="28"/>
      <c r="B7" s="367"/>
      <c r="C7" s="71"/>
      <c r="D7" s="72"/>
      <c r="E7" s="73" t="s">
        <v>241</v>
      </c>
      <c r="F7" s="30"/>
      <c r="G7" s="31"/>
      <c r="H7"/>
      <c r="I7" s="32"/>
      <c r="L7" s="52"/>
    </row>
    <row r="8" spans="1:12" s="27" customFormat="1" ht="13.2">
      <c r="A8" s="28" t="s">
        <v>21</v>
      </c>
      <c r="B8" s="367" t="s">
        <v>251</v>
      </c>
      <c r="C8" s="74" t="s">
        <v>173</v>
      </c>
      <c r="D8" s="75"/>
      <c r="E8" s="76" t="s">
        <v>115</v>
      </c>
      <c r="F8" s="62" t="s">
        <v>13</v>
      </c>
      <c r="G8" s="63" t="s">
        <v>13</v>
      </c>
      <c r="H8" s="69" t="s">
        <v>13</v>
      </c>
      <c r="I8" s="65" t="s">
        <v>13</v>
      </c>
      <c r="L8" s="52"/>
    </row>
    <row r="9" spans="1:12" s="27" customFormat="1" ht="13.2">
      <c r="A9" s="26"/>
      <c r="B9" s="369"/>
      <c r="C9" s="77"/>
      <c r="D9" s="78"/>
      <c r="E9" s="79" t="s">
        <v>117</v>
      </c>
      <c r="F9" s="62" t="s">
        <v>13</v>
      </c>
      <c r="G9" s="63" t="s">
        <v>13</v>
      </c>
      <c r="H9" s="69" t="s">
        <v>13</v>
      </c>
      <c r="I9" s="65" t="s">
        <v>13</v>
      </c>
      <c r="L9" s="52"/>
    </row>
    <row r="10" spans="1:12" s="27" customFormat="1" ht="19.5" customHeight="1">
      <c r="A10" s="26" t="s">
        <v>22</v>
      </c>
      <c r="B10" s="368" t="s">
        <v>252</v>
      </c>
      <c r="C10" s="77"/>
      <c r="D10" s="78"/>
      <c r="E10" s="80" t="s">
        <v>134</v>
      </c>
      <c r="F10" s="81" t="s">
        <v>23</v>
      </c>
      <c r="G10" s="68">
        <f>31538+37949+578+823*3</f>
        <v>72534</v>
      </c>
      <c r="H10" s="69">
        <v>0</v>
      </c>
      <c r="I10" s="70">
        <f>ROUND($G10*H10,2)</f>
        <v>0</v>
      </c>
      <c r="L10" s="52"/>
    </row>
    <row r="11" spans="1:12" s="27" customFormat="1" ht="19.5" customHeight="1">
      <c r="A11" s="26" t="s">
        <v>24</v>
      </c>
      <c r="B11" s="368" t="s">
        <v>253</v>
      </c>
      <c r="C11" s="66"/>
      <c r="D11" s="82"/>
      <c r="E11" s="80" t="s">
        <v>163</v>
      </c>
      <c r="F11" s="81" t="s">
        <v>23</v>
      </c>
      <c r="G11" s="68">
        <f>120+101+198+115</f>
        <v>534</v>
      </c>
      <c r="H11" s="69">
        <v>0</v>
      </c>
      <c r="I11" s="70">
        <f t="shared" ref="I11:I13" si="1">ROUND($G11*H11,2)</f>
        <v>0</v>
      </c>
      <c r="L11" s="52"/>
    </row>
    <row r="12" spans="1:12" s="27" customFormat="1" ht="19.5" customHeight="1">
      <c r="A12" s="26" t="s">
        <v>25</v>
      </c>
      <c r="B12" s="368" t="s">
        <v>254</v>
      </c>
      <c r="C12" s="66"/>
      <c r="D12" s="82"/>
      <c r="E12" s="80" t="s">
        <v>118</v>
      </c>
      <c r="F12" s="81" t="s">
        <v>23</v>
      </c>
      <c r="G12" s="68">
        <v>1448</v>
      </c>
      <c r="H12" s="69">
        <v>0</v>
      </c>
      <c r="I12" s="70">
        <f t="shared" si="1"/>
        <v>0</v>
      </c>
      <c r="L12" s="52"/>
    </row>
    <row r="13" spans="1:12" s="27" customFormat="1" ht="19.5" customHeight="1">
      <c r="A13" s="26" t="s">
        <v>79</v>
      </c>
      <c r="B13" s="368" t="s">
        <v>255</v>
      </c>
      <c r="C13" s="83"/>
      <c r="D13" s="84"/>
      <c r="E13" s="85" t="s">
        <v>205</v>
      </c>
      <c r="F13" s="81" t="s">
        <v>3</v>
      </c>
      <c r="G13" s="86">
        <v>24</v>
      </c>
      <c r="H13" s="69">
        <v>0</v>
      </c>
      <c r="I13" s="70">
        <f t="shared" si="1"/>
        <v>0</v>
      </c>
      <c r="L13" s="52"/>
    </row>
    <row r="14" spans="1:12" s="27" customFormat="1" ht="13.2">
      <c r="A14" s="26"/>
      <c r="B14" s="369"/>
      <c r="C14" s="83"/>
      <c r="D14" s="84"/>
      <c r="E14" s="87" t="s">
        <v>26</v>
      </c>
      <c r="F14" s="81" t="s">
        <v>153</v>
      </c>
      <c r="G14" s="37"/>
      <c r="H14"/>
      <c r="I14" s="24" t="s">
        <v>13</v>
      </c>
      <c r="L14" s="52"/>
    </row>
    <row r="15" spans="1:12" s="27" customFormat="1" ht="13.2">
      <c r="A15" s="28" t="s">
        <v>7</v>
      </c>
      <c r="B15" s="367" t="s">
        <v>256</v>
      </c>
      <c r="C15" s="375" t="s">
        <v>174</v>
      </c>
      <c r="D15" s="374"/>
      <c r="E15" s="376" t="s">
        <v>27</v>
      </c>
      <c r="F15" s="377"/>
      <c r="G15" s="381"/>
      <c r="H15" s="382"/>
      <c r="I15" s="380"/>
      <c r="L15" s="52"/>
    </row>
    <row r="16" spans="1:12" s="27" customFormat="1" ht="24">
      <c r="A16" s="28"/>
      <c r="B16" s="367"/>
      <c r="C16" s="71"/>
      <c r="D16" s="72"/>
      <c r="E16" s="73" t="s">
        <v>241</v>
      </c>
      <c r="F16" s="30"/>
      <c r="G16" s="31"/>
      <c r="H16"/>
      <c r="I16" s="32"/>
      <c r="L16" s="52"/>
    </row>
    <row r="17" spans="1:12" s="27" customFormat="1" ht="13.2">
      <c r="A17" s="28" t="s">
        <v>28</v>
      </c>
      <c r="B17" s="367" t="s">
        <v>257</v>
      </c>
      <c r="C17" s="74" t="s">
        <v>175</v>
      </c>
      <c r="D17" s="75"/>
      <c r="E17" s="76" t="s">
        <v>29</v>
      </c>
      <c r="F17" s="62" t="s">
        <v>13</v>
      </c>
      <c r="G17" s="62" t="s">
        <v>13</v>
      </c>
      <c r="H17" s="69" t="s">
        <v>13</v>
      </c>
      <c r="I17" s="65" t="s">
        <v>13</v>
      </c>
      <c r="L17" s="52"/>
    </row>
    <row r="18" spans="1:12" s="27" customFormat="1" ht="22.8">
      <c r="A18" s="26"/>
      <c r="B18" s="368" t="s">
        <v>258</v>
      </c>
      <c r="C18" s="88"/>
      <c r="D18" s="89"/>
      <c r="E18" s="76" t="s">
        <v>135</v>
      </c>
      <c r="F18" s="62" t="s">
        <v>17</v>
      </c>
      <c r="G18" s="68">
        <v>135.4</v>
      </c>
      <c r="H18" s="69">
        <v>0</v>
      </c>
      <c r="I18" s="70">
        <f>ROUND($G18*H18,2)</f>
        <v>0</v>
      </c>
      <c r="L18" s="52"/>
    </row>
    <row r="19" spans="1:12" s="27" customFormat="1" ht="13.2">
      <c r="A19" s="28" t="s">
        <v>30</v>
      </c>
      <c r="B19" s="367" t="s">
        <v>259</v>
      </c>
      <c r="C19" s="66" t="s">
        <v>176</v>
      </c>
      <c r="D19" s="66"/>
      <c r="E19" s="90" t="s">
        <v>31</v>
      </c>
      <c r="F19" s="81" t="s">
        <v>13</v>
      </c>
      <c r="G19" s="81" t="s">
        <v>13</v>
      </c>
      <c r="H19" s="69" t="s">
        <v>13</v>
      </c>
      <c r="I19" s="65" t="s">
        <v>13</v>
      </c>
      <c r="L19" s="52"/>
    </row>
    <row r="20" spans="1:12" s="27" customFormat="1" ht="13.2">
      <c r="A20" s="26" t="s">
        <v>32</v>
      </c>
      <c r="B20" s="368" t="s">
        <v>260</v>
      </c>
      <c r="C20" s="66"/>
      <c r="D20" s="66"/>
      <c r="E20" s="67" t="s">
        <v>165</v>
      </c>
      <c r="F20" s="62" t="s">
        <v>17</v>
      </c>
      <c r="G20" s="68">
        <f>2.1+1.7+3.3+1.9</f>
        <v>9</v>
      </c>
      <c r="H20" s="69">
        <v>0</v>
      </c>
      <c r="I20" s="70">
        <f>ROUND($G20*H20,2)</f>
        <v>0</v>
      </c>
      <c r="L20" s="52"/>
    </row>
    <row r="21" spans="1:12" s="27" customFormat="1" ht="13.2">
      <c r="A21" s="26"/>
      <c r="B21" s="367" t="s">
        <v>261</v>
      </c>
      <c r="C21" s="66" t="s">
        <v>177</v>
      </c>
      <c r="D21" s="66"/>
      <c r="E21" s="90" t="s">
        <v>129</v>
      </c>
      <c r="F21" s="81" t="s">
        <v>13</v>
      </c>
      <c r="G21" s="81" t="s">
        <v>13</v>
      </c>
      <c r="H21" s="69" t="s">
        <v>13</v>
      </c>
      <c r="I21" s="49" t="s">
        <v>13</v>
      </c>
      <c r="L21" s="52"/>
    </row>
    <row r="22" spans="1:12" s="27" customFormat="1" ht="22.8">
      <c r="A22" s="26"/>
      <c r="B22" s="368" t="s">
        <v>262</v>
      </c>
      <c r="C22" s="66"/>
      <c r="D22" s="66"/>
      <c r="E22" s="67" t="s">
        <v>136</v>
      </c>
      <c r="F22" s="62" t="s">
        <v>17</v>
      </c>
      <c r="G22" s="68">
        <v>95</v>
      </c>
      <c r="H22" s="69">
        <v>0</v>
      </c>
      <c r="I22" s="70">
        <f>ROUND($G22*H22,2)</f>
        <v>0</v>
      </c>
      <c r="L22" s="52"/>
    </row>
    <row r="23" spans="1:12" s="27" customFormat="1" ht="13.2">
      <c r="A23" s="28" t="s">
        <v>33</v>
      </c>
      <c r="B23" s="367" t="s">
        <v>263</v>
      </c>
      <c r="C23" s="74" t="s">
        <v>178</v>
      </c>
      <c r="D23" s="74"/>
      <c r="E23" s="90" t="s">
        <v>34</v>
      </c>
      <c r="F23" s="62" t="s">
        <v>13</v>
      </c>
      <c r="G23" s="62" t="s">
        <v>13</v>
      </c>
      <c r="H23" s="69" t="s">
        <v>13</v>
      </c>
      <c r="I23" s="65" t="s">
        <v>13</v>
      </c>
      <c r="L23" s="52"/>
    </row>
    <row r="24" spans="1:12" s="27" customFormat="1" ht="22.8">
      <c r="A24" s="26" t="s">
        <v>35</v>
      </c>
      <c r="B24" s="368" t="s">
        <v>264</v>
      </c>
      <c r="C24" s="91"/>
      <c r="D24" s="91"/>
      <c r="E24" s="92" t="s">
        <v>146</v>
      </c>
      <c r="F24" s="62" t="s">
        <v>17</v>
      </c>
      <c r="G24" s="68">
        <v>7.5</v>
      </c>
      <c r="H24" s="69">
        <v>0</v>
      </c>
      <c r="I24" s="70">
        <f>ROUND($G24*H24,2)</f>
        <v>0</v>
      </c>
      <c r="L24" s="52"/>
    </row>
    <row r="25" spans="1:12" s="27" customFormat="1" ht="13.2">
      <c r="A25" s="28" t="s">
        <v>36</v>
      </c>
      <c r="B25" s="367" t="s">
        <v>265</v>
      </c>
      <c r="C25" s="60" t="s">
        <v>179</v>
      </c>
      <c r="D25" s="60"/>
      <c r="E25" s="90" t="s">
        <v>130</v>
      </c>
      <c r="F25" s="62" t="s">
        <v>13</v>
      </c>
      <c r="G25" s="62" t="s">
        <v>13</v>
      </c>
      <c r="H25" s="69" t="s">
        <v>13</v>
      </c>
      <c r="I25" s="65" t="s">
        <v>13</v>
      </c>
      <c r="L25" s="52"/>
    </row>
    <row r="26" spans="1:12" s="27" customFormat="1" ht="22.8">
      <c r="A26" s="26"/>
      <c r="B26" s="368" t="s">
        <v>266</v>
      </c>
      <c r="C26" s="66"/>
      <c r="D26" s="66"/>
      <c r="E26" s="90" t="s">
        <v>137</v>
      </c>
      <c r="F26" s="62" t="s">
        <v>17</v>
      </c>
      <c r="G26" s="93">
        <v>105</v>
      </c>
      <c r="H26" s="69">
        <v>0</v>
      </c>
      <c r="I26" s="70">
        <f>ROUND($G26*H26,2)</f>
        <v>0</v>
      </c>
      <c r="L26" s="52"/>
    </row>
    <row r="27" spans="1:12" s="27" customFormat="1" ht="13.2">
      <c r="A27" s="28" t="s">
        <v>37</v>
      </c>
      <c r="B27" s="367" t="s">
        <v>267</v>
      </c>
      <c r="C27" s="60" t="s">
        <v>180</v>
      </c>
      <c r="D27" s="60"/>
      <c r="E27" s="90" t="s">
        <v>119</v>
      </c>
      <c r="F27" s="81" t="s">
        <v>13</v>
      </c>
      <c r="G27" s="81" t="s">
        <v>13</v>
      </c>
      <c r="H27" s="69" t="s">
        <v>13</v>
      </c>
      <c r="I27" s="65" t="s">
        <v>13</v>
      </c>
      <c r="L27" s="52"/>
    </row>
    <row r="28" spans="1:12" s="27" customFormat="1" ht="22.8">
      <c r="A28" s="26" t="s">
        <v>38</v>
      </c>
      <c r="B28" s="368" t="s">
        <v>268</v>
      </c>
      <c r="C28" s="83"/>
      <c r="D28" s="83"/>
      <c r="E28" s="92" t="s">
        <v>138</v>
      </c>
      <c r="F28" s="94" t="s">
        <v>363</v>
      </c>
      <c r="G28" s="68">
        <v>13.5</v>
      </c>
      <c r="H28" s="69">
        <v>0</v>
      </c>
      <c r="I28" s="70">
        <f>ROUND($G28*H28,2)</f>
        <v>0</v>
      </c>
      <c r="L28" s="52"/>
    </row>
    <row r="29" spans="1:12" s="27" customFormat="1" ht="13.2">
      <c r="A29" s="26"/>
      <c r="B29" s="369"/>
      <c r="C29" s="62"/>
      <c r="D29" s="95"/>
      <c r="E29" s="87" t="s">
        <v>39</v>
      </c>
      <c r="F29" s="62" t="s">
        <v>153</v>
      </c>
      <c r="G29" s="96"/>
      <c r="H29"/>
      <c r="I29" s="24" t="s">
        <v>13</v>
      </c>
      <c r="L29" s="52"/>
    </row>
    <row r="30" spans="1:12" s="27" customFormat="1" ht="13.2">
      <c r="A30" s="28" t="s">
        <v>40</v>
      </c>
      <c r="B30" s="367" t="s">
        <v>269</v>
      </c>
      <c r="C30" s="74" t="s">
        <v>181</v>
      </c>
      <c r="D30" s="75"/>
      <c r="E30" s="97" t="s">
        <v>139</v>
      </c>
      <c r="F30" s="62" t="s">
        <v>13</v>
      </c>
      <c r="G30" s="62" t="s">
        <v>13</v>
      </c>
      <c r="H30" s="69" t="s">
        <v>13</v>
      </c>
      <c r="I30" s="65" t="s">
        <v>13</v>
      </c>
      <c r="L30" s="52"/>
    </row>
    <row r="31" spans="1:12" s="27" customFormat="1" ht="22.8">
      <c r="A31" s="26" t="s">
        <v>41</v>
      </c>
      <c r="B31" s="368" t="s">
        <v>270</v>
      </c>
      <c r="C31" s="98"/>
      <c r="D31" s="99"/>
      <c r="E31" s="100" t="s">
        <v>140</v>
      </c>
      <c r="F31" s="62" t="s">
        <v>17</v>
      </c>
      <c r="G31" s="68">
        <v>23</v>
      </c>
      <c r="H31" s="69">
        <f t="shared" ref="H31:H67" si="2">L31*$K$5</f>
        <v>0</v>
      </c>
      <c r="I31" s="70">
        <f t="shared" ref="I31:I32" si="3">ROUND($G31*H31,2)</f>
        <v>0</v>
      </c>
      <c r="L31" s="52"/>
    </row>
    <row r="32" spans="1:12" s="27" customFormat="1" ht="22.8">
      <c r="A32" s="26" t="s">
        <v>42</v>
      </c>
      <c r="B32" s="368" t="s">
        <v>271</v>
      </c>
      <c r="C32" s="101"/>
      <c r="D32" s="102"/>
      <c r="E32" s="100" t="s">
        <v>141</v>
      </c>
      <c r="F32" s="62" t="s">
        <v>17</v>
      </c>
      <c r="G32" s="68">
        <f>0.08*(12.1+12.1)</f>
        <v>1.94</v>
      </c>
      <c r="H32" s="186">
        <f t="shared" si="2"/>
        <v>0</v>
      </c>
      <c r="I32" s="70">
        <f t="shared" si="3"/>
        <v>0</v>
      </c>
      <c r="L32" s="52"/>
    </row>
    <row r="33" spans="1:12" s="27" customFormat="1" ht="13.2">
      <c r="A33" s="26"/>
      <c r="B33" s="369"/>
      <c r="C33" s="103"/>
      <c r="D33" s="104"/>
      <c r="E33" s="87" t="s">
        <v>43</v>
      </c>
      <c r="F33" s="62" t="s">
        <v>153</v>
      </c>
      <c r="G33" s="39"/>
      <c r="H33" s="184"/>
      <c r="I33" s="24" t="s">
        <v>13</v>
      </c>
      <c r="L33" s="52"/>
    </row>
    <row r="34" spans="1:12" s="27" customFormat="1" ht="13.2">
      <c r="A34" s="28" t="s">
        <v>8</v>
      </c>
      <c r="B34" s="367" t="s">
        <v>272</v>
      </c>
      <c r="C34" s="375" t="s">
        <v>200</v>
      </c>
      <c r="D34" s="374"/>
      <c r="E34" s="376" t="s">
        <v>44</v>
      </c>
      <c r="F34" s="377"/>
      <c r="G34" s="383"/>
      <c r="H34" s="384"/>
      <c r="I34" s="380"/>
      <c r="L34" s="52"/>
    </row>
    <row r="35" spans="1:12" s="27" customFormat="1" ht="24">
      <c r="A35" s="28"/>
      <c r="B35" s="367"/>
      <c r="C35" s="71"/>
      <c r="D35" s="72"/>
      <c r="E35" s="73" t="s">
        <v>241</v>
      </c>
      <c r="F35" s="30"/>
      <c r="G35" s="105"/>
      <c r="H35"/>
      <c r="I35" s="32"/>
      <c r="L35" s="52"/>
    </row>
    <row r="36" spans="1:12" s="27" customFormat="1" ht="13.2">
      <c r="A36" s="28" t="s">
        <v>45</v>
      </c>
      <c r="B36" s="367" t="s">
        <v>273</v>
      </c>
      <c r="C36" s="74" t="s">
        <v>167</v>
      </c>
      <c r="D36" s="74"/>
      <c r="E36" s="90" t="s">
        <v>132</v>
      </c>
      <c r="F36" s="62" t="s">
        <v>13</v>
      </c>
      <c r="G36" s="81" t="s">
        <v>13</v>
      </c>
      <c r="H36" s="69" t="s">
        <v>13</v>
      </c>
      <c r="I36" s="65" t="s">
        <v>13</v>
      </c>
      <c r="L36" s="52"/>
    </row>
    <row r="37" spans="1:12" s="27" customFormat="1" ht="22.8">
      <c r="A37" s="26"/>
      <c r="B37" s="368" t="s">
        <v>330</v>
      </c>
      <c r="C37" s="106"/>
      <c r="D37" s="106"/>
      <c r="E37" s="67" t="s">
        <v>159</v>
      </c>
      <c r="F37" s="62" t="s">
        <v>23</v>
      </c>
      <c r="G37" s="68">
        <v>358</v>
      </c>
      <c r="H37" s="69">
        <f t="shared" si="2"/>
        <v>0</v>
      </c>
      <c r="I37" s="70">
        <f t="shared" ref="I37:I40" si="4">ROUND($G37*H37,2)</f>
        <v>0</v>
      </c>
      <c r="L37" s="52"/>
    </row>
    <row r="38" spans="1:12" s="27" customFormat="1" ht="34.200000000000003">
      <c r="A38" s="26"/>
      <c r="B38" s="368" t="s">
        <v>339</v>
      </c>
      <c r="C38" s="106"/>
      <c r="D38" s="106"/>
      <c r="E38" s="67" t="s">
        <v>358</v>
      </c>
      <c r="F38" s="62" t="s">
        <v>23</v>
      </c>
      <c r="G38" s="68">
        <v>320.10000000000002</v>
      </c>
      <c r="H38" s="69">
        <f t="shared" si="2"/>
        <v>0</v>
      </c>
      <c r="I38" s="70">
        <f t="shared" si="4"/>
        <v>0</v>
      </c>
      <c r="L38" s="52"/>
    </row>
    <row r="39" spans="1:12" s="27" customFormat="1" ht="22.8">
      <c r="A39" s="26"/>
      <c r="B39" s="368" t="s">
        <v>341</v>
      </c>
      <c r="C39" s="106"/>
      <c r="D39" s="106"/>
      <c r="E39" s="67" t="s">
        <v>340</v>
      </c>
      <c r="F39" s="62" t="s">
        <v>4</v>
      </c>
      <c r="G39" s="68">
        <v>1.6</v>
      </c>
      <c r="H39" s="69">
        <f t="shared" si="2"/>
        <v>0</v>
      </c>
      <c r="I39" s="70">
        <f t="shared" si="4"/>
        <v>0</v>
      </c>
      <c r="L39" s="52"/>
    </row>
    <row r="40" spans="1:12" s="27" customFormat="1" ht="22.8">
      <c r="A40" s="26"/>
      <c r="B40" s="368" t="s">
        <v>342</v>
      </c>
      <c r="C40" s="106"/>
      <c r="D40" s="101"/>
      <c r="E40" s="67" t="s">
        <v>359</v>
      </c>
      <c r="F40" s="62" t="s">
        <v>4</v>
      </c>
      <c r="G40" s="68">
        <v>9.6999999999999993</v>
      </c>
      <c r="H40" s="69">
        <f t="shared" si="2"/>
        <v>0</v>
      </c>
      <c r="I40" s="70">
        <f t="shared" si="4"/>
        <v>0</v>
      </c>
      <c r="L40" s="52"/>
    </row>
    <row r="41" spans="1:12" s="27" customFormat="1" ht="22.5" customHeight="1">
      <c r="A41" s="26"/>
      <c r="B41" s="368" t="s">
        <v>343</v>
      </c>
      <c r="C41" s="74" t="s">
        <v>354</v>
      </c>
      <c r="D41" s="106"/>
      <c r="E41" s="67" t="s">
        <v>356</v>
      </c>
      <c r="F41" s="62" t="s">
        <v>13</v>
      </c>
      <c r="G41" s="107" t="s">
        <v>13</v>
      </c>
      <c r="H41" s="69" t="s">
        <v>13</v>
      </c>
      <c r="I41" s="49" t="s">
        <v>13</v>
      </c>
      <c r="L41" s="52"/>
    </row>
    <row r="42" spans="1:12" s="27" customFormat="1" ht="22.8">
      <c r="A42" s="26"/>
      <c r="B42" s="368" t="s">
        <v>274</v>
      </c>
      <c r="C42" s="106"/>
      <c r="D42" s="101"/>
      <c r="E42" s="67" t="s">
        <v>345</v>
      </c>
      <c r="F42" s="62" t="s">
        <v>344</v>
      </c>
      <c r="G42" s="68">
        <v>0.32</v>
      </c>
      <c r="H42" s="69">
        <f t="shared" si="2"/>
        <v>0</v>
      </c>
      <c r="I42" s="70">
        <f>ROUND($G42*H42,2)</f>
        <v>0</v>
      </c>
      <c r="L42" s="52"/>
    </row>
    <row r="43" spans="1:12" s="27" customFormat="1" ht="22.8">
      <c r="A43" s="26"/>
      <c r="B43" s="368" t="s">
        <v>346</v>
      </c>
      <c r="C43" s="74" t="s">
        <v>355</v>
      </c>
      <c r="D43" s="106"/>
      <c r="E43" s="67" t="s">
        <v>357</v>
      </c>
      <c r="F43" s="62" t="s">
        <v>13</v>
      </c>
      <c r="G43" s="107" t="s">
        <v>13</v>
      </c>
      <c r="H43" s="69" t="s">
        <v>13</v>
      </c>
      <c r="I43" s="49" t="s">
        <v>13</v>
      </c>
      <c r="L43" s="52"/>
    </row>
    <row r="44" spans="1:12" s="27" customFormat="1" ht="22.8">
      <c r="A44" s="26"/>
      <c r="B44" s="368" t="s">
        <v>347</v>
      </c>
      <c r="C44" s="108"/>
      <c r="D44" s="101"/>
      <c r="E44" s="67" t="s">
        <v>154</v>
      </c>
      <c r="F44" s="62" t="s">
        <v>348</v>
      </c>
      <c r="G44" s="68">
        <v>57.4</v>
      </c>
      <c r="H44" s="69">
        <f t="shared" si="2"/>
        <v>0</v>
      </c>
      <c r="I44" s="70">
        <f>ROUND($G44*H44,2)</f>
        <v>0</v>
      </c>
      <c r="L44" s="52"/>
    </row>
    <row r="45" spans="1:12" s="27" customFormat="1" ht="13.2">
      <c r="A45" s="26"/>
      <c r="B45" s="368" t="s">
        <v>349</v>
      </c>
      <c r="C45" s="74" t="s">
        <v>353</v>
      </c>
      <c r="D45" s="106"/>
      <c r="E45" s="67" t="s">
        <v>350</v>
      </c>
      <c r="F45" s="62" t="s">
        <v>13</v>
      </c>
      <c r="G45" s="107" t="s">
        <v>13</v>
      </c>
      <c r="H45" s="69" t="s">
        <v>13</v>
      </c>
      <c r="I45" s="49" t="s">
        <v>13</v>
      </c>
      <c r="L45" s="52"/>
    </row>
    <row r="46" spans="1:12" s="27" customFormat="1" ht="22.8">
      <c r="A46" s="26" t="s">
        <v>80</v>
      </c>
      <c r="B46" s="368" t="s">
        <v>351</v>
      </c>
      <c r="C46" s="101"/>
      <c r="D46" s="101"/>
      <c r="E46" s="90" t="s">
        <v>352</v>
      </c>
      <c r="F46" s="109" t="s">
        <v>344</v>
      </c>
      <c r="G46" s="68">
        <v>0.32</v>
      </c>
      <c r="H46" s="69">
        <f t="shared" si="2"/>
        <v>0</v>
      </c>
      <c r="I46" s="70">
        <f>ROUND($G46*H46,2)</f>
        <v>0</v>
      </c>
      <c r="L46" s="52"/>
    </row>
    <row r="47" spans="1:12" s="27" customFormat="1" ht="13.2">
      <c r="A47" s="26"/>
      <c r="B47" s="369"/>
      <c r="C47" s="12"/>
      <c r="D47" s="25"/>
      <c r="E47" s="87" t="s">
        <v>46</v>
      </c>
      <c r="F47" s="13" t="s">
        <v>153</v>
      </c>
      <c r="G47" s="96"/>
      <c r="H47" s="183"/>
      <c r="I47" s="24" t="s">
        <v>13</v>
      </c>
      <c r="L47" s="52"/>
    </row>
    <row r="48" spans="1:12" s="27" customFormat="1" ht="13.2">
      <c r="A48" s="28" t="s">
        <v>9</v>
      </c>
      <c r="B48" s="367" t="s">
        <v>275</v>
      </c>
      <c r="C48" s="375" t="s">
        <v>201</v>
      </c>
      <c r="D48" s="374"/>
      <c r="E48" s="376" t="s">
        <v>47</v>
      </c>
      <c r="F48" s="377"/>
      <c r="G48" s="381"/>
      <c r="H48" s="382"/>
      <c r="I48" s="380"/>
      <c r="L48" s="52"/>
    </row>
    <row r="49" spans="1:12" s="27" customFormat="1" ht="24">
      <c r="A49" s="28"/>
      <c r="B49" s="367"/>
      <c r="C49" s="71"/>
      <c r="D49" s="72"/>
      <c r="E49" s="73" t="s">
        <v>241</v>
      </c>
      <c r="F49" s="30"/>
      <c r="G49" s="31"/>
      <c r="H49"/>
      <c r="I49" s="32"/>
      <c r="L49" s="52"/>
    </row>
    <row r="50" spans="1:12" s="27" customFormat="1" ht="13.2">
      <c r="A50" s="28" t="s">
        <v>48</v>
      </c>
      <c r="B50" s="367" t="s">
        <v>276</v>
      </c>
      <c r="C50" s="60" t="s">
        <v>182</v>
      </c>
      <c r="D50" s="60"/>
      <c r="E50" s="90" t="s">
        <v>49</v>
      </c>
      <c r="F50" s="62" t="s">
        <v>13</v>
      </c>
      <c r="G50" s="62" t="s">
        <v>13</v>
      </c>
      <c r="H50" s="69" t="s">
        <v>13</v>
      </c>
      <c r="I50" s="65" t="s">
        <v>13</v>
      </c>
      <c r="L50" s="52"/>
    </row>
    <row r="51" spans="1:12" s="27" customFormat="1" ht="34.200000000000003">
      <c r="A51" s="26" t="s">
        <v>50</v>
      </c>
      <c r="B51" s="368" t="s">
        <v>277</v>
      </c>
      <c r="C51" s="66"/>
      <c r="D51" s="66"/>
      <c r="E51" s="110" t="s">
        <v>207</v>
      </c>
      <c r="F51" s="62" t="s">
        <v>15</v>
      </c>
      <c r="G51" s="68">
        <v>485</v>
      </c>
      <c r="H51" s="69">
        <f t="shared" si="2"/>
        <v>0</v>
      </c>
      <c r="I51" s="70">
        <f t="shared" ref="I51:I52" si="5">ROUND($G51*H51,2)</f>
        <v>0</v>
      </c>
      <c r="L51" s="52"/>
    </row>
    <row r="52" spans="1:12" s="27" customFormat="1" ht="45.6">
      <c r="A52" s="26" t="s">
        <v>78</v>
      </c>
      <c r="B52" s="368" t="s">
        <v>278</v>
      </c>
      <c r="C52" s="83"/>
      <c r="D52" s="83"/>
      <c r="E52" s="92" t="s">
        <v>149</v>
      </c>
      <c r="F52" s="62" t="s">
        <v>15</v>
      </c>
      <c r="G52" s="68">
        <v>18</v>
      </c>
      <c r="H52" s="69">
        <f t="shared" si="2"/>
        <v>0</v>
      </c>
      <c r="I52" s="70">
        <f t="shared" si="5"/>
        <v>0</v>
      </c>
      <c r="L52" s="52"/>
    </row>
    <row r="53" spans="1:12" s="27" customFormat="1" ht="13.2">
      <c r="A53" s="28" t="s">
        <v>51</v>
      </c>
      <c r="B53" s="367" t="s">
        <v>279</v>
      </c>
      <c r="C53" s="74" t="s">
        <v>168</v>
      </c>
      <c r="D53" s="74"/>
      <c r="E53" s="90" t="s">
        <v>155</v>
      </c>
      <c r="F53" s="81" t="s">
        <v>13</v>
      </c>
      <c r="G53" s="81" t="s">
        <v>13</v>
      </c>
      <c r="H53" s="69" t="s">
        <v>13</v>
      </c>
      <c r="I53" s="65" t="s">
        <v>13</v>
      </c>
      <c r="L53" s="52"/>
    </row>
    <row r="54" spans="1:12" s="27" customFormat="1" ht="22.8">
      <c r="A54" s="26" t="s">
        <v>52</v>
      </c>
      <c r="B54" s="368" t="s">
        <v>280</v>
      </c>
      <c r="C54" s="103"/>
      <c r="D54" s="103"/>
      <c r="E54" s="110" t="s">
        <v>209</v>
      </c>
      <c r="F54" s="62" t="s">
        <v>15</v>
      </c>
      <c r="G54" s="68">
        <f>(5.9+0.5)*13.5*2</f>
        <v>172.8</v>
      </c>
      <c r="H54" s="69">
        <f t="shared" si="2"/>
        <v>0</v>
      </c>
      <c r="I54" s="70">
        <f t="shared" ref="I54:I55" si="6">ROUND($G54*H54,2)</f>
        <v>0</v>
      </c>
      <c r="L54" s="52"/>
    </row>
    <row r="55" spans="1:12" s="27" customFormat="1" ht="13.2">
      <c r="A55" s="26"/>
      <c r="B55" s="368" t="s">
        <v>281</v>
      </c>
      <c r="C55" s="101"/>
      <c r="D55" s="101"/>
      <c r="E55" s="90" t="s">
        <v>150</v>
      </c>
      <c r="F55" s="62" t="s">
        <v>15</v>
      </c>
      <c r="G55" s="68">
        <v>6</v>
      </c>
      <c r="H55" s="69">
        <f t="shared" si="2"/>
        <v>0</v>
      </c>
      <c r="I55" s="70">
        <f t="shared" si="6"/>
        <v>0</v>
      </c>
      <c r="L55" s="52"/>
    </row>
    <row r="56" spans="1:12" s="27" customFormat="1" ht="13.2">
      <c r="A56" s="28" t="s">
        <v>53</v>
      </c>
      <c r="B56" s="367" t="s">
        <v>282</v>
      </c>
      <c r="C56" s="74" t="s">
        <v>183</v>
      </c>
      <c r="D56" s="74"/>
      <c r="E56" s="90" t="s">
        <v>54</v>
      </c>
      <c r="F56" s="81" t="s">
        <v>13</v>
      </c>
      <c r="G56" s="81" t="s">
        <v>13</v>
      </c>
      <c r="H56" s="69" t="s">
        <v>13</v>
      </c>
      <c r="I56" s="65" t="s">
        <v>13</v>
      </c>
      <c r="L56" s="52"/>
    </row>
    <row r="57" spans="1:12" s="27" customFormat="1" ht="22.8">
      <c r="A57" s="26" t="s">
        <v>55</v>
      </c>
      <c r="B57" s="368" t="s">
        <v>283</v>
      </c>
      <c r="C57" s="98"/>
      <c r="D57" s="98"/>
      <c r="E57" s="92" t="s">
        <v>156</v>
      </c>
      <c r="F57" s="62" t="s">
        <v>15</v>
      </c>
      <c r="G57" s="68">
        <f>1.15*11.3*2</f>
        <v>25.99</v>
      </c>
      <c r="H57" s="69">
        <f t="shared" si="2"/>
        <v>0</v>
      </c>
      <c r="I57" s="70">
        <f>ROUND($G57*H57,2)</f>
        <v>0</v>
      </c>
      <c r="L57" s="52"/>
    </row>
    <row r="58" spans="1:12" s="27" customFormat="1" ht="13.2">
      <c r="A58" s="26"/>
      <c r="B58" s="367" t="s">
        <v>284</v>
      </c>
      <c r="C58" s="74" t="s">
        <v>184</v>
      </c>
      <c r="D58" s="74"/>
      <c r="E58" s="90" t="s">
        <v>121</v>
      </c>
      <c r="F58" s="81" t="s">
        <v>13</v>
      </c>
      <c r="G58" s="81" t="s">
        <v>13</v>
      </c>
      <c r="H58" s="69" t="s">
        <v>13</v>
      </c>
      <c r="I58" s="49" t="s">
        <v>13</v>
      </c>
      <c r="L58" s="52"/>
    </row>
    <row r="59" spans="1:12" s="27" customFormat="1" ht="22.8">
      <c r="A59" s="26"/>
      <c r="B59" s="368" t="s">
        <v>285</v>
      </c>
      <c r="C59" s="98"/>
      <c r="D59" s="98"/>
      <c r="E59" s="111" t="s">
        <v>122</v>
      </c>
      <c r="F59" s="83" t="s">
        <v>15</v>
      </c>
      <c r="G59" s="68">
        <f>(11.3+0.2)*11.52</f>
        <v>132.47999999999999</v>
      </c>
      <c r="H59" s="69">
        <f t="shared" si="2"/>
        <v>0</v>
      </c>
      <c r="I59" s="70">
        <f>ROUND($G59*H59,2)</f>
        <v>0</v>
      </c>
      <c r="L59" s="52"/>
    </row>
    <row r="60" spans="1:12" s="27" customFormat="1" ht="13.2">
      <c r="A60" s="28" t="s">
        <v>56</v>
      </c>
      <c r="B60" s="367" t="s">
        <v>286</v>
      </c>
      <c r="C60" s="74" t="s">
        <v>185</v>
      </c>
      <c r="D60" s="74"/>
      <c r="E60" s="90" t="s">
        <v>151</v>
      </c>
      <c r="F60" s="81" t="s">
        <v>13</v>
      </c>
      <c r="G60" s="81" t="s">
        <v>13</v>
      </c>
      <c r="H60" s="69" t="s">
        <v>13</v>
      </c>
      <c r="I60" s="65" t="s">
        <v>13</v>
      </c>
      <c r="L60" s="52"/>
    </row>
    <row r="61" spans="1:12" s="27" customFormat="1" ht="22.8">
      <c r="A61" s="26" t="s">
        <v>57</v>
      </c>
      <c r="B61" s="368" t="s">
        <v>287</v>
      </c>
      <c r="C61" s="98"/>
      <c r="D61" s="98"/>
      <c r="E61" s="90" t="s">
        <v>152</v>
      </c>
      <c r="F61" s="83" t="s">
        <v>15</v>
      </c>
      <c r="G61" s="68">
        <f>(8.5+4.9+4.9+4.3)*1*1.4</f>
        <v>31.64</v>
      </c>
      <c r="H61" s="69">
        <f t="shared" si="2"/>
        <v>0</v>
      </c>
      <c r="I61" s="70">
        <f>ROUND($G61*H61,2)</f>
        <v>0</v>
      </c>
      <c r="L61" s="52"/>
    </row>
    <row r="62" spans="1:12" s="27" customFormat="1" ht="13.2">
      <c r="A62" s="26"/>
      <c r="B62" s="369"/>
      <c r="C62" s="12"/>
      <c r="D62" s="25"/>
      <c r="E62" s="87" t="s">
        <v>58</v>
      </c>
      <c r="F62" s="13" t="s">
        <v>153</v>
      </c>
      <c r="G62" s="96"/>
      <c r="H62" s="186" t="s">
        <v>13</v>
      </c>
      <c r="I62" s="24" t="s">
        <v>13</v>
      </c>
      <c r="L62" s="52"/>
    </row>
    <row r="63" spans="1:12" s="27" customFormat="1" ht="13.2">
      <c r="A63" s="28" t="s">
        <v>10</v>
      </c>
      <c r="B63" s="367" t="s">
        <v>288</v>
      </c>
      <c r="C63" s="385" t="s">
        <v>186</v>
      </c>
      <c r="D63" s="386"/>
      <c r="E63" s="387" t="s">
        <v>81</v>
      </c>
      <c r="F63" s="388"/>
      <c r="G63" s="381"/>
      <c r="H63" s="382"/>
      <c r="I63" s="380"/>
      <c r="L63" s="52"/>
    </row>
    <row r="64" spans="1:12" s="27" customFormat="1" ht="24">
      <c r="A64" s="28"/>
      <c r="B64" s="367"/>
      <c r="C64" s="71"/>
      <c r="D64" s="72"/>
      <c r="E64" s="73" t="s">
        <v>241</v>
      </c>
      <c r="F64" s="30"/>
      <c r="G64" s="112"/>
      <c r="H64"/>
      <c r="I64" s="113"/>
      <c r="L64" s="52"/>
    </row>
    <row r="65" spans="1:12" s="27" customFormat="1" ht="13.2">
      <c r="A65" s="28" t="s">
        <v>82</v>
      </c>
      <c r="B65" s="367" t="s">
        <v>289</v>
      </c>
      <c r="C65" s="74" t="s">
        <v>187</v>
      </c>
      <c r="D65" s="74"/>
      <c r="E65" s="61" t="s">
        <v>360</v>
      </c>
      <c r="F65" s="62" t="s">
        <v>13</v>
      </c>
      <c r="G65" s="114" t="s">
        <v>13</v>
      </c>
      <c r="H65" s="69" t="s">
        <v>13</v>
      </c>
      <c r="I65" s="65" t="s">
        <v>13</v>
      </c>
      <c r="L65" s="52"/>
    </row>
    <row r="66" spans="1:12" s="27" customFormat="1" ht="22.8">
      <c r="A66" s="26" t="s">
        <v>83</v>
      </c>
      <c r="B66" s="368" t="s">
        <v>290</v>
      </c>
      <c r="C66" s="115"/>
      <c r="D66" s="115"/>
      <c r="E66" s="67" t="s">
        <v>84</v>
      </c>
      <c r="F66" s="62" t="s">
        <v>4</v>
      </c>
      <c r="G66" s="68">
        <f>6.1+2+5.1+1.9</f>
        <v>15.1</v>
      </c>
      <c r="H66" s="69">
        <f t="shared" si="2"/>
        <v>0</v>
      </c>
      <c r="I66" s="70">
        <f>ROUND($G66*H66,2)</f>
        <v>0</v>
      </c>
      <c r="L66" s="52"/>
    </row>
    <row r="67" spans="1:12" s="27" customFormat="1" ht="22.8">
      <c r="A67" s="26"/>
      <c r="B67" s="368" t="s">
        <v>291</v>
      </c>
      <c r="C67" s="115"/>
      <c r="D67" s="115"/>
      <c r="E67" s="116" t="s">
        <v>157</v>
      </c>
      <c r="F67" s="62" t="s">
        <v>3</v>
      </c>
      <c r="G67" s="117">
        <v>4</v>
      </c>
      <c r="H67" s="69">
        <f t="shared" si="2"/>
        <v>0</v>
      </c>
      <c r="I67" s="70">
        <f>ROUND($G67*H67,2)</f>
        <v>0</v>
      </c>
      <c r="L67" s="52"/>
    </row>
    <row r="68" spans="1:12" s="27" customFormat="1" ht="13.2">
      <c r="A68" s="26"/>
      <c r="B68" s="369"/>
      <c r="C68" s="73"/>
      <c r="D68" s="118"/>
      <c r="E68" s="112" t="s">
        <v>85</v>
      </c>
      <c r="F68" s="13" t="s">
        <v>153</v>
      </c>
      <c r="G68" s="119"/>
      <c r="H68" s="186" t="s">
        <v>13</v>
      </c>
      <c r="I68" s="24" t="s">
        <v>13</v>
      </c>
      <c r="L68" s="52"/>
    </row>
    <row r="69" spans="1:12" s="27" customFormat="1" ht="13.2">
      <c r="A69" s="28" t="s">
        <v>11</v>
      </c>
      <c r="B69" s="367" t="s">
        <v>292</v>
      </c>
      <c r="C69" s="375" t="s">
        <v>188</v>
      </c>
      <c r="D69" s="374"/>
      <c r="E69" s="376" t="s">
        <v>59</v>
      </c>
      <c r="F69" s="377"/>
      <c r="G69" s="381"/>
      <c r="H69" s="382"/>
      <c r="I69" s="380"/>
      <c r="L69" s="52"/>
    </row>
    <row r="70" spans="1:12" s="27" customFormat="1" ht="24">
      <c r="A70" s="28"/>
      <c r="B70" s="367"/>
      <c r="C70" s="71"/>
      <c r="D70" s="72"/>
      <c r="E70" s="73" t="s">
        <v>241</v>
      </c>
      <c r="F70" s="30"/>
      <c r="G70" s="31"/>
      <c r="H70"/>
      <c r="I70" s="32"/>
      <c r="L70" s="52"/>
    </row>
    <row r="71" spans="1:12" s="27" customFormat="1" ht="13.2">
      <c r="A71" s="26"/>
      <c r="B71" s="367" t="s">
        <v>293</v>
      </c>
      <c r="C71" s="120" t="s">
        <v>189</v>
      </c>
      <c r="D71" s="121"/>
      <c r="E71" s="122" t="s">
        <v>60</v>
      </c>
      <c r="F71" s="62" t="s">
        <v>13</v>
      </c>
      <c r="G71" s="62" t="s">
        <v>13</v>
      </c>
      <c r="H71" s="69" t="s">
        <v>13</v>
      </c>
      <c r="I71" s="65" t="s">
        <v>13</v>
      </c>
      <c r="L71" s="52"/>
    </row>
    <row r="72" spans="1:12" s="27" customFormat="1" ht="57">
      <c r="A72" s="26"/>
      <c r="B72" s="368" t="s">
        <v>294</v>
      </c>
      <c r="C72" s="123"/>
      <c r="D72" s="124"/>
      <c r="E72" s="80" t="s">
        <v>123</v>
      </c>
      <c r="F72" s="81" t="s">
        <v>4</v>
      </c>
      <c r="G72" s="68">
        <v>11.3</v>
      </c>
      <c r="H72" s="69">
        <f t="shared" ref="H72:H111" si="7">L72*$K$5</f>
        <v>0</v>
      </c>
      <c r="I72" s="70">
        <f t="shared" ref="I72:I74" si="8">ROUND($G72*H72,2)</f>
        <v>0</v>
      </c>
      <c r="L72" s="52"/>
    </row>
    <row r="73" spans="1:12" s="27" customFormat="1" ht="34.200000000000003">
      <c r="A73" s="26"/>
      <c r="B73" s="368" t="s">
        <v>295</v>
      </c>
      <c r="C73" s="123"/>
      <c r="D73" s="124"/>
      <c r="E73" s="80" t="s">
        <v>124</v>
      </c>
      <c r="F73" s="81" t="s">
        <v>4</v>
      </c>
      <c r="G73" s="68">
        <f>5.9+5.9</f>
        <v>11.8</v>
      </c>
      <c r="H73" s="69">
        <f t="shared" si="7"/>
        <v>0</v>
      </c>
      <c r="I73" s="70">
        <f t="shared" si="8"/>
        <v>0</v>
      </c>
      <c r="L73" s="52"/>
    </row>
    <row r="74" spans="1:12" s="27" customFormat="1" ht="34.200000000000003">
      <c r="A74" s="26"/>
      <c r="B74" s="368" t="s">
        <v>296</v>
      </c>
      <c r="C74" s="125"/>
      <c r="D74" s="126"/>
      <c r="E74" s="127" t="s">
        <v>144</v>
      </c>
      <c r="F74" s="128" t="s">
        <v>4</v>
      </c>
      <c r="G74" s="68">
        <f>5.93+5.93+5.6+5.93</f>
        <v>23.39</v>
      </c>
      <c r="H74" s="69">
        <f t="shared" si="7"/>
        <v>0</v>
      </c>
      <c r="I74" s="70">
        <f t="shared" si="8"/>
        <v>0</v>
      </c>
      <c r="L74" s="52"/>
    </row>
    <row r="75" spans="1:12" s="27" customFormat="1" ht="13.2">
      <c r="A75" s="26"/>
      <c r="B75" s="369"/>
      <c r="C75" s="129"/>
      <c r="D75" s="130"/>
      <c r="E75" s="87" t="s">
        <v>61</v>
      </c>
      <c r="F75" s="390" t="s">
        <v>153</v>
      </c>
      <c r="G75" s="391"/>
      <c r="H75"/>
      <c r="I75" s="24" t="s">
        <v>13</v>
      </c>
      <c r="L75" s="52"/>
    </row>
    <row r="76" spans="1:12" s="27" customFormat="1" ht="13.2">
      <c r="A76" s="28" t="s">
        <v>12</v>
      </c>
      <c r="B76" s="367" t="s">
        <v>297</v>
      </c>
      <c r="C76" s="375" t="s">
        <v>190</v>
      </c>
      <c r="D76" s="374"/>
      <c r="E76" s="376" t="s">
        <v>62</v>
      </c>
      <c r="F76" s="377"/>
      <c r="G76" s="394"/>
      <c r="H76" s="395"/>
      <c r="I76" s="396"/>
      <c r="L76" s="52"/>
    </row>
    <row r="77" spans="1:12" s="27" customFormat="1" ht="24">
      <c r="A77" s="28"/>
      <c r="B77" s="367"/>
      <c r="C77" s="71"/>
      <c r="D77" s="72"/>
      <c r="E77" s="73" t="s">
        <v>241</v>
      </c>
      <c r="F77" s="392"/>
      <c r="G77" s="392"/>
      <c r="H77" s="393"/>
      <c r="I77" s="32"/>
      <c r="L77" s="52"/>
    </row>
    <row r="78" spans="1:12" s="27" customFormat="1" ht="13.2">
      <c r="A78" s="28" t="s">
        <v>65</v>
      </c>
      <c r="B78" s="367" t="s">
        <v>298</v>
      </c>
      <c r="C78" s="60" t="s">
        <v>191</v>
      </c>
      <c r="D78" s="60"/>
      <c r="E78" s="90" t="s">
        <v>244</v>
      </c>
      <c r="F78" s="83" t="s">
        <v>13</v>
      </c>
      <c r="G78" s="83" t="s">
        <v>13</v>
      </c>
      <c r="H78" s="189" t="s">
        <v>13</v>
      </c>
      <c r="I78" s="65" t="s">
        <v>13</v>
      </c>
      <c r="L78" s="52"/>
    </row>
    <row r="79" spans="1:12" s="27" customFormat="1" ht="22.8">
      <c r="A79" s="26" t="s">
        <v>67</v>
      </c>
      <c r="B79" s="368" t="s">
        <v>299</v>
      </c>
      <c r="C79" s="66"/>
      <c r="D79" s="66"/>
      <c r="E79" s="131" t="s">
        <v>245</v>
      </c>
      <c r="F79" s="132" t="s">
        <v>23</v>
      </c>
      <c r="G79" s="68">
        <v>461</v>
      </c>
      <c r="H79" s="69">
        <f t="shared" si="7"/>
        <v>0</v>
      </c>
      <c r="I79" s="70">
        <f t="shared" ref="I79:I80" si="9">ROUND($G79*H79,2)</f>
        <v>0</v>
      </c>
      <c r="L79" s="52"/>
    </row>
    <row r="80" spans="1:12" s="27" customFormat="1" ht="22.8">
      <c r="A80" s="26" t="s">
        <v>86</v>
      </c>
      <c r="B80" s="368" t="s">
        <v>300</v>
      </c>
      <c r="C80" s="66"/>
      <c r="D80" s="66"/>
      <c r="E80" s="133" t="s">
        <v>246</v>
      </c>
      <c r="F80" s="132" t="s">
        <v>23</v>
      </c>
      <c r="G80" s="68">
        <v>496</v>
      </c>
      <c r="H80" s="69">
        <f t="shared" si="7"/>
        <v>0</v>
      </c>
      <c r="I80" s="70">
        <f t="shared" si="9"/>
        <v>0</v>
      </c>
      <c r="L80" s="52"/>
    </row>
    <row r="81" spans="1:12" s="27" customFormat="1" ht="13.2">
      <c r="A81" s="26"/>
      <c r="B81" s="369"/>
      <c r="C81" s="12"/>
      <c r="D81" s="25"/>
      <c r="E81" s="87" t="s">
        <v>63</v>
      </c>
      <c r="F81" s="13"/>
      <c r="G81" s="134"/>
      <c r="H81" s="69" t="s">
        <v>13</v>
      </c>
      <c r="I81" s="24" t="s">
        <v>13</v>
      </c>
      <c r="L81" s="52"/>
    </row>
    <row r="82" spans="1:12" s="27" customFormat="1" ht="13.2">
      <c r="A82" s="28" t="s">
        <v>87</v>
      </c>
      <c r="B82" s="367" t="s">
        <v>301</v>
      </c>
      <c r="C82" s="375" t="s">
        <v>192</v>
      </c>
      <c r="D82" s="374"/>
      <c r="E82" s="376" t="s">
        <v>64</v>
      </c>
      <c r="F82" s="377"/>
      <c r="G82" s="381"/>
      <c r="H82" s="398"/>
      <c r="I82" s="380"/>
      <c r="L82" s="52"/>
    </row>
    <row r="83" spans="1:12" s="27" customFormat="1" ht="24">
      <c r="A83" s="28"/>
      <c r="B83" s="367"/>
      <c r="C83" s="71"/>
      <c r="D83" s="72"/>
      <c r="E83" s="73" t="s">
        <v>241</v>
      </c>
      <c r="F83" s="30"/>
      <c r="G83" s="31"/>
      <c r="H83"/>
      <c r="I83" s="32"/>
      <c r="L83" s="52"/>
    </row>
    <row r="84" spans="1:12" s="27" customFormat="1" ht="13.2">
      <c r="A84" s="28" t="s">
        <v>88</v>
      </c>
      <c r="B84" s="367" t="s">
        <v>302</v>
      </c>
      <c r="C84" s="60" t="s">
        <v>193</v>
      </c>
      <c r="D84" s="60"/>
      <c r="E84" s="135" t="s">
        <v>66</v>
      </c>
      <c r="F84" s="136" t="s">
        <v>13</v>
      </c>
      <c r="G84" s="136" t="s">
        <v>13</v>
      </c>
      <c r="H84" s="69" t="s">
        <v>13</v>
      </c>
      <c r="I84" s="65" t="s">
        <v>13</v>
      </c>
      <c r="L84" s="52"/>
    </row>
    <row r="85" spans="1:12" s="27" customFormat="1" ht="22.8">
      <c r="A85" s="26" t="s">
        <v>89</v>
      </c>
      <c r="B85" s="368" t="s">
        <v>303</v>
      </c>
      <c r="C85" s="83"/>
      <c r="D85" s="83"/>
      <c r="E85" s="116" t="s">
        <v>158</v>
      </c>
      <c r="F85" s="137" t="s">
        <v>16</v>
      </c>
      <c r="G85" s="68">
        <f>5.9*12.85*2</f>
        <v>151.63</v>
      </c>
      <c r="H85" s="69">
        <f t="shared" si="7"/>
        <v>0</v>
      </c>
      <c r="I85" s="70">
        <f>ROUND($G85*H85,2)</f>
        <v>0</v>
      </c>
      <c r="L85" s="52"/>
    </row>
    <row r="86" spans="1:12" s="27" customFormat="1" ht="13.2">
      <c r="A86" s="28" t="s">
        <v>90</v>
      </c>
      <c r="B86" s="367" t="s">
        <v>304</v>
      </c>
      <c r="C86" s="74" t="s">
        <v>194</v>
      </c>
      <c r="D86" s="74"/>
      <c r="E86" s="135" t="s">
        <v>68</v>
      </c>
      <c r="F86" s="136" t="s">
        <v>13</v>
      </c>
      <c r="G86" s="136" t="s">
        <v>13</v>
      </c>
      <c r="H86" s="69" t="s">
        <v>13</v>
      </c>
      <c r="I86" s="65" t="s">
        <v>13</v>
      </c>
      <c r="L86" s="52"/>
    </row>
    <row r="87" spans="1:12" s="27" customFormat="1" ht="34.799999999999997">
      <c r="A87" s="26" t="s">
        <v>91</v>
      </c>
      <c r="B87" s="368" t="s">
        <v>305</v>
      </c>
      <c r="C87" s="98"/>
      <c r="D87" s="98"/>
      <c r="E87" s="116" t="s">
        <v>208</v>
      </c>
      <c r="F87" s="136" t="s">
        <v>4</v>
      </c>
      <c r="G87" s="68">
        <f>12+12</f>
        <v>24</v>
      </c>
      <c r="H87" s="69">
        <f t="shared" si="7"/>
        <v>0</v>
      </c>
      <c r="I87" s="70">
        <f t="shared" ref="I87:I88" si="10">ROUND($G87*H87,2)</f>
        <v>0</v>
      </c>
      <c r="L87" s="52"/>
    </row>
    <row r="88" spans="1:12" s="27" customFormat="1" ht="19.5" customHeight="1">
      <c r="A88" s="26" t="s">
        <v>92</v>
      </c>
      <c r="B88" s="368" t="s">
        <v>306</v>
      </c>
      <c r="C88" s="101"/>
      <c r="D88" s="103"/>
      <c r="E88" s="138" t="s">
        <v>133</v>
      </c>
      <c r="F88" s="136" t="s">
        <v>3</v>
      </c>
      <c r="G88" s="68">
        <v>2</v>
      </c>
      <c r="H88" s="69">
        <f t="shared" si="7"/>
        <v>0</v>
      </c>
      <c r="I88" s="70">
        <f t="shared" si="10"/>
        <v>0</v>
      </c>
      <c r="L88" s="52"/>
    </row>
    <row r="89" spans="1:12" s="27" customFormat="1" ht="13.2">
      <c r="A89" s="28" t="s">
        <v>93</v>
      </c>
      <c r="B89" s="367" t="s">
        <v>307</v>
      </c>
      <c r="C89" s="74" t="s">
        <v>169</v>
      </c>
      <c r="D89" s="75"/>
      <c r="E89" s="122" t="s">
        <v>69</v>
      </c>
      <c r="F89" s="62" t="s">
        <v>13</v>
      </c>
      <c r="G89" s="62" t="s">
        <v>13</v>
      </c>
      <c r="H89" s="69" t="s">
        <v>13</v>
      </c>
      <c r="I89" s="65" t="s">
        <v>13</v>
      </c>
      <c r="L89" s="52"/>
    </row>
    <row r="90" spans="1:12" s="27" customFormat="1" ht="34.200000000000003">
      <c r="A90" s="26" t="s">
        <v>94</v>
      </c>
      <c r="B90" s="368" t="s">
        <v>308</v>
      </c>
      <c r="C90" s="98"/>
      <c r="D90" s="99"/>
      <c r="E90" s="80" t="s">
        <v>161</v>
      </c>
      <c r="F90" s="81" t="s">
        <v>16</v>
      </c>
      <c r="G90" s="68">
        <f>(7.25*4.5-0.96*7.25)+4.5*3+5.55*7.3+(8.45*6.2-0.96*8.45)</f>
        <v>123.96</v>
      </c>
      <c r="H90" s="69">
        <f t="shared" si="7"/>
        <v>0</v>
      </c>
      <c r="I90" s="70">
        <f t="shared" ref="I90:I92" si="11">ROUND($G90*H90,2)</f>
        <v>0</v>
      </c>
      <c r="L90" s="52"/>
    </row>
    <row r="91" spans="1:12" s="27" customFormat="1" ht="22.8">
      <c r="A91" s="26" t="s">
        <v>95</v>
      </c>
      <c r="B91" s="368" t="s">
        <v>309</v>
      </c>
      <c r="C91" s="98"/>
      <c r="D91" s="99"/>
      <c r="E91" s="80" t="s">
        <v>70</v>
      </c>
      <c r="F91" s="62" t="s">
        <v>4</v>
      </c>
      <c r="G91" s="68">
        <f>(0.65+2.45+7.25)+(3.45+4.5)+(8.15+5.55)+(6.1+1+8.45)</f>
        <v>47.55</v>
      </c>
      <c r="H91" s="69">
        <f t="shared" si="7"/>
        <v>0</v>
      </c>
      <c r="I91" s="70">
        <f t="shared" si="11"/>
        <v>0</v>
      </c>
      <c r="L91" s="52"/>
    </row>
    <row r="92" spans="1:12" s="27" customFormat="1" ht="22.8">
      <c r="A92" s="26" t="s">
        <v>96</v>
      </c>
      <c r="B92" s="368" t="s">
        <v>310</v>
      </c>
      <c r="C92" s="98"/>
      <c r="D92" s="98"/>
      <c r="E92" s="139" t="s">
        <v>142</v>
      </c>
      <c r="F92" s="62" t="s">
        <v>4</v>
      </c>
      <c r="G92" s="68">
        <f>4.6+2.25+6+2.8</f>
        <v>15.65</v>
      </c>
      <c r="H92" s="69">
        <f t="shared" si="7"/>
        <v>0</v>
      </c>
      <c r="I92" s="70">
        <f t="shared" si="11"/>
        <v>0</v>
      </c>
      <c r="L92" s="52"/>
    </row>
    <row r="93" spans="1:12" s="27" customFormat="1" ht="13.2">
      <c r="A93" s="28" t="s">
        <v>97</v>
      </c>
      <c r="B93" s="367" t="s">
        <v>311</v>
      </c>
      <c r="C93" s="60" t="s">
        <v>195</v>
      </c>
      <c r="D93" s="60"/>
      <c r="E93" s="90" t="s">
        <v>71</v>
      </c>
      <c r="F93" s="140" t="s">
        <v>13</v>
      </c>
      <c r="G93" s="140" t="s">
        <v>13</v>
      </c>
      <c r="H93" s="69" t="s">
        <v>13</v>
      </c>
      <c r="I93" s="65" t="s">
        <v>13</v>
      </c>
      <c r="L93" s="52"/>
    </row>
    <row r="94" spans="1:12" s="27" customFormat="1" ht="57">
      <c r="A94" s="26" t="s">
        <v>98</v>
      </c>
      <c r="B94" s="368" t="s">
        <v>312</v>
      </c>
      <c r="C94" s="66"/>
      <c r="D94" s="66"/>
      <c r="E94" s="141" t="s">
        <v>127</v>
      </c>
      <c r="F94" s="137" t="s">
        <v>16</v>
      </c>
      <c r="G94" s="68">
        <f>15.8*11.45+1.25*4.3*3+0.95*4.3+0.7*4</f>
        <v>203.92</v>
      </c>
      <c r="H94" s="69">
        <f t="shared" si="7"/>
        <v>0</v>
      </c>
      <c r="I94" s="70">
        <f t="shared" ref="I94:I95" si="12">ROUND($G94*H94,2)</f>
        <v>0</v>
      </c>
      <c r="L94" s="52"/>
    </row>
    <row r="95" spans="1:12" s="27" customFormat="1" ht="45.6">
      <c r="A95" s="26" t="s">
        <v>99</v>
      </c>
      <c r="B95" s="368" t="s">
        <v>313</v>
      </c>
      <c r="C95" s="83"/>
      <c r="D95" s="83"/>
      <c r="E95" s="67" t="s">
        <v>125</v>
      </c>
      <c r="F95" s="81" t="s">
        <v>16</v>
      </c>
      <c r="G95" s="142">
        <f>(8.5+4.9+4.9+4.3)*1.66+1.92*11.3*2</f>
        <v>80.91</v>
      </c>
      <c r="H95" s="69">
        <f t="shared" si="7"/>
        <v>0</v>
      </c>
      <c r="I95" s="70">
        <f t="shared" si="12"/>
        <v>0</v>
      </c>
      <c r="L95" s="52"/>
    </row>
    <row r="96" spans="1:12" s="27" customFormat="1" ht="13.2">
      <c r="A96" s="28" t="s">
        <v>100</v>
      </c>
      <c r="B96" s="367" t="s">
        <v>314</v>
      </c>
      <c r="C96" s="60" t="s">
        <v>170</v>
      </c>
      <c r="D96" s="60"/>
      <c r="E96" s="61" t="s">
        <v>72</v>
      </c>
      <c r="F96" s="81" t="s">
        <v>13</v>
      </c>
      <c r="G96" s="143" t="s">
        <v>13</v>
      </c>
      <c r="H96" s="69" t="s">
        <v>13</v>
      </c>
      <c r="I96" s="65" t="s">
        <v>13</v>
      </c>
      <c r="L96" s="52"/>
    </row>
    <row r="97" spans="1:12" s="27" customFormat="1" ht="34.200000000000003">
      <c r="A97" s="26" t="s">
        <v>101</v>
      </c>
      <c r="B97" s="368" t="s">
        <v>315</v>
      </c>
      <c r="C97" s="66"/>
      <c r="D97" s="66"/>
      <c r="E97" s="144" t="s">
        <v>148</v>
      </c>
      <c r="F97" s="81" t="s">
        <v>4</v>
      </c>
      <c r="G97" s="68">
        <f>6.28+7.63</f>
        <v>13.91</v>
      </c>
      <c r="H97" s="69">
        <f t="shared" si="7"/>
        <v>0</v>
      </c>
      <c r="I97" s="70">
        <f>ROUND($G97*H97,2)</f>
        <v>0</v>
      </c>
      <c r="L97" s="52"/>
    </row>
    <row r="98" spans="1:12" s="27" customFormat="1" ht="22.8">
      <c r="A98" s="28" t="s">
        <v>102</v>
      </c>
      <c r="B98" s="367" t="s">
        <v>316</v>
      </c>
      <c r="C98" s="60" t="s">
        <v>196</v>
      </c>
      <c r="D98" s="60"/>
      <c r="E98" s="145" t="s">
        <v>131</v>
      </c>
      <c r="F98" s="146" t="s">
        <v>13</v>
      </c>
      <c r="G98" s="146" t="s">
        <v>13</v>
      </c>
      <c r="H98" s="69" t="s">
        <v>13</v>
      </c>
      <c r="I98" s="65" t="s">
        <v>13</v>
      </c>
      <c r="L98" s="52"/>
    </row>
    <row r="99" spans="1:12" s="27" customFormat="1" ht="34.200000000000003">
      <c r="A99" s="26"/>
      <c r="B99" s="368" t="s">
        <v>317</v>
      </c>
      <c r="C99" s="66"/>
      <c r="D99" s="66"/>
      <c r="E99" s="147" t="s">
        <v>206</v>
      </c>
      <c r="F99" s="146" t="s">
        <v>4</v>
      </c>
      <c r="G99" s="68">
        <f>(12+7+17+10)*0.5</f>
        <v>23</v>
      </c>
      <c r="H99" s="69">
        <f t="shared" si="7"/>
        <v>0</v>
      </c>
      <c r="I99" s="70">
        <f t="shared" ref="I99:I101" si="13">ROUND($G99*H99,2)</f>
        <v>0</v>
      </c>
      <c r="L99" s="52"/>
    </row>
    <row r="100" spans="1:12" s="27" customFormat="1" ht="22.8">
      <c r="A100" s="26"/>
      <c r="B100" s="368" t="s">
        <v>318</v>
      </c>
      <c r="C100" s="66"/>
      <c r="D100" s="66"/>
      <c r="E100" s="147" t="s">
        <v>147</v>
      </c>
      <c r="F100" s="146" t="s">
        <v>4</v>
      </c>
      <c r="G100" s="68">
        <f>12*0.5</f>
        <v>6</v>
      </c>
      <c r="H100" s="69">
        <f t="shared" si="7"/>
        <v>0</v>
      </c>
      <c r="I100" s="70">
        <f t="shared" si="13"/>
        <v>0</v>
      </c>
      <c r="L100" s="52"/>
    </row>
    <row r="101" spans="1:12" s="27" customFormat="1" ht="15.6">
      <c r="A101" s="26"/>
      <c r="B101" s="368" t="s">
        <v>319</v>
      </c>
      <c r="C101" s="66"/>
      <c r="D101" s="66"/>
      <c r="E101" s="147" t="s">
        <v>145</v>
      </c>
      <c r="F101" s="146" t="s">
        <v>76</v>
      </c>
      <c r="G101" s="68">
        <f>0.5+1.5*3</f>
        <v>5</v>
      </c>
      <c r="H101" s="69">
        <f t="shared" si="7"/>
        <v>0</v>
      </c>
      <c r="I101" s="70">
        <f t="shared" si="13"/>
        <v>0</v>
      </c>
      <c r="L101" s="52"/>
    </row>
    <row r="102" spans="1:12" s="27" customFormat="1" ht="22.8">
      <c r="A102" s="28" t="s">
        <v>103</v>
      </c>
      <c r="B102" s="367" t="s">
        <v>320</v>
      </c>
      <c r="C102" s="74" t="s">
        <v>197</v>
      </c>
      <c r="D102" s="74"/>
      <c r="E102" s="148" t="s">
        <v>73</v>
      </c>
      <c r="F102" s="81" t="s">
        <v>13</v>
      </c>
      <c r="G102" s="81" t="s">
        <v>13</v>
      </c>
      <c r="H102" s="69" t="s">
        <v>13</v>
      </c>
      <c r="I102" s="65" t="s">
        <v>13</v>
      </c>
      <c r="L102" s="52"/>
    </row>
    <row r="103" spans="1:12" s="27" customFormat="1" ht="19.5" customHeight="1">
      <c r="A103" s="26" t="s">
        <v>104</v>
      </c>
      <c r="B103" s="368" t="s">
        <v>321</v>
      </c>
      <c r="C103" s="98"/>
      <c r="D103" s="98"/>
      <c r="E103" s="149" t="s">
        <v>74</v>
      </c>
      <c r="F103" s="136" t="s">
        <v>3</v>
      </c>
      <c r="G103" s="68">
        <v>2</v>
      </c>
      <c r="H103" s="69">
        <f t="shared" si="7"/>
        <v>0</v>
      </c>
      <c r="I103" s="70">
        <f t="shared" ref="I103:I104" si="14">ROUND($G103*H103,2)</f>
        <v>0</v>
      </c>
      <c r="L103" s="52"/>
    </row>
    <row r="104" spans="1:12" s="27" customFormat="1" ht="22.8">
      <c r="A104" s="26" t="s">
        <v>105</v>
      </c>
      <c r="B104" s="368" t="s">
        <v>322</v>
      </c>
      <c r="C104" s="101"/>
      <c r="D104" s="101"/>
      <c r="E104" s="150" t="s">
        <v>128</v>
      </c>
      <c r="F104" s="151" t="s">
        <v>3</v>
      </c>
      <c r="G104" s="68">
        <v>16</v>
      </c>
      <c r="H104" s="69">
        <f t="shared" si="7"/>
        <v>0</v>
      </c>
      <c r="I104" s="70">
        <f t="shared" si="14"/>
        <v>0</v>
      </c>
      <c r="L104" s="52"/>
    </row>
    <row r="105" spans="1:12" s="27" customFormat="1" ht="13.2">
      <c r="A105" s="28" t="s">
        <v>106</v>
      </c>
      <c r="B105" s="367" t="s">
        <v>323</v>
      </c>
      <c r="C105" s="60" t="s">
        <v>198</v>
      </c>
      <c r="D105" s="60"/>
      <c r="E105" s="152" t="s">
        <v>75</v>
      </c>
      <c r="F105" s="153" t="s">
        <v>13</v>
      </c>
      <c r="G105" s="153" t="s">
        <v>13</v>
      </c>
      <c r="H105" s="69" t="s">
        <v>13</v>
      </c>
      <c r="I105" s="65" t="s">
        <v>13</v>
      </c>
      <c r="L105" s="52"/>
    </row>
    <row r="106" spans="1:12" s="27" customFormat="1" ht="13.2">
      <c r="A106" s="26" t="s">
        <v>107</v>
      </c>
      <c r="B106" s="368" t="s">
        <v>324</v>
      </c>
      <c r="C106" s="83"/>
      <c r="D106" s="66"/>
      <c r="E106" s="141" t="s">
        <v>164</v>
      </c>
      <c r="F106" s="137" t="s">
        <v>16</v>
      </c>
      <c r="G106" s="68">
        <f>(14.05+14.55)*2.5</f>
        <v>71.5</v>
      </c>
      <c r="H106" s="69">
        <f t="shared" si="7"/>
        <v>0</v>
      </c>
      <c r="I106" s="70">
        <f>ROUND($G106*H106,2)</f>
        <v>0</v>
      </c>
      <c r="L106" s="52"/>
    </row>
    <row r="107" spans="1:12" s="27" customFormat="1" ht="13.2">
      <c r="A107" s="28" t="s">
        <v>108</v>
      </c>
      <c r="B107" s="367" t="s">
        <v>325</v>
      </c>
      <c r="C107" s="60" t="s">
        <v>199</v>
      </c>
      <c r="D107" s="60"/>
      <c r="E107" s="152" t="s">
        <v>110</v>
      </c>
      <c r="F107" s="151" t="s">
        <v>13</v>
      </c>
      <c r="G107" s="154" t="s">
        <v>13</v>
      </c>
      <c r="H107" s="69" t="s">
        <v>13</v>
      </c>
      <c r="I107" s="65" t="s">
        <v>13</v>
      </c>
      <c r="L107" s="52"/>
    </row>
    <row r="108" spans="1:12" s="27" customFormat="1" ht="22.8">
      <c r="A108" s="26" t="s">
        <v>109</v>
      </c>
      <c r="B108" s="370" t="s">
        <v>326</v>
      </c>
      <c r="C108" s="66"/>
      <c r="D108" s="82"/>
      <c r="E108" s="155" t="s">
        <v>126</v>
      </c>
      <c r="F108" s="81" t="s">
        <v>16</v>
      </c>
      <c r="G108" s="68">
        <f>2*4.4*11.3</f>
        <v>99.44</v>
      </c>
      <c r="H108" s="69">
        <f t="shared" si="7"/>
        <v>0</v>
      </c>
      <c r="I108" s="70">
        <f t="shared" ref="I108:I109" si="15">ROUND($G108*H108,2)</f>
        <v>0</v>
      </c>
      <c r="L108" s="52"/>
    </row>
    <row r="109" spans="1:12" s="27" customFormat="1" ht="22.8">
      <c r="A109" s="26"/>
      <c r="B109" s="370" t="s">
        <v>327</v>
      </c>
      <c r="C109" s="83"/>
      <c r="D109" s="84"/>
      <c r="E109" s="156" t="s">
        <v>143</v>
      </c>
      <c r="F109" s="81" t="s">
        <v>17</v>
      </c>
      <c r="G109" s="68">
        <f>0.21*9.15*11.3</f>
        <v>21.71</v>
      </c>
      <c r="H109" s="69">
        <f t="shared" si="7"/>
        <v>0</v>
      </c>
      <c r="I109" s="70">
        <f t="shared" si="15"/>
        <v>0</v>
      </c>
      <c r="L109" s="52"/>
    </row>
    <row r="110" spans="1:12" s="29" customFormat="1" ht="22.8">
      <c r="A110" s="26" t="s">
        <v>113</v>
      </c>
      <c r="B110" s="370" t="s">
        <v>361</v>
      </c>
      <c r="C110" s="77" t="s">
        <v>362</v>
      </c>
      <c r="D110" s="157"/>
      <c r="E110" s="158" t="s">
        <v>162</v>
      </c>
      <c r="F110" s="128" t="s">
        <v>13</v>
      </c>
      <c r="G110" s="128" t="s">
        <v>13</v>
      </c>
      <c r="H110" s="69" t="s">
        <v>13</v>
      </c>
      <c r="I110" s="65" t="s">
        <v>13</v>
      </c>
      <c r="L110" s="52"/>
    </row>
    <row r="111" spans="1:12" s="29" customFormat="1" ht="19.5" customHeight="1">
      <c r="A111" s="26" t="s">
        <v>114</v>
      </c>
      <c r="B111" s="370" t="s">
        <v>328</v>
      </c>
      <c r="C111" s="83"/>
      <c r="D111" s="159"/>
      <c r="E111" s="158" t="s">
        <v>242</v>
      </c>
      <c r="F111" s="81" t="s">
        <v>2</v>
      </c>
      <c r="G111" s="68">
        <v>4</v>
      </c>
      <c r="H111" s="69">
        <f t="shared" si="7"/>
        <v>0</v>
      </c>
      <c r="I111" s="70">
        <f>ROUND($G111*H111,2)</f>
        <v>0</v>
      </c>
      <c r="L111" s="52"/>
    </row>
    <row r="112" spans="1:12" ht="13.2">
      <c r="A112" s="9"/>
      <c r="B112" s="369"/>
      <c r="C112" s="12"/>
      <c r="D112" s="25"/>
      <c r="E112" s="14" t="s">
        <v>77</v>
      </c>
      <c r="F112" s="13"/>
      <c r="G112" s="96"/>
      <c r="H112" s="160"/>
      <c r="I112" s="24" t="s">
        <v>13</v>
      </c>
    </row>
    <row r="113" spans="1:12" ht="20.100000000000001" customHeight="1">
      <c r="A113" s="6"/>
      <c r="B113" s="367"/>
      <c r="C113" s="562" t="s">
        <v>332</v>
      </c>
      <c r="D113" s="562"/>
      <c r="E113" s="562"/>
      <c r="F113" s="7"/>
      <c r="G113" s="161"/>
      <c r="H113" s="162" t="s">
        <v>13</v>
      </c>
      <c r="I113" s="10">
        <f>SUM(I4:I111)</f>
        <v>0</v>
      </c>
    </row>
    <row r="114" spans="1:12" ht="26.4">
      <c r="B114" s="205" t="s">
        <v>334</v>
      </c>
      <c r="C114" s="558" t="s">
        <v>364</v>
      </c>
      <c r="D114" s="559"/>
      <c r="E114" s="560"/>
      <c r="F114" s="560"/>
      <c r="G114" s="560"/>
      <c r="H114" s="560"/>
      <c r="I114" s="561"/>
    </row>
    <row r="115" spans="1:12" ht="24">
      <c r="B115" s="371" t="s">
        <v>0</v>
      </c>
      <c r="C115" s="404" t="s">
        <v>210</v>
      </c>
      <c r="D115" s="404" t="s">
        <v>333</v>
      </c>
      <c r="E115" s="405" t="s">
        <v>203</v>
      </c>
      <c r="F115" s="405" t="s">
        <v>204</v>
      </c>
      <c r="G115" s="405" t="s">
        <v>1</v>
      </c>
      <c r="H115" s="41" t="s">
        <v>111</v>
      </c>
      <c r="I115" s="406" t="s">
        <v>112</v>
      </c>
    </row>
    <row r="116" spans="1:12" ht="13.2">
      <c r="B116" s="367" t="s">
        <v>247</v>
      </c>
      <c r="C116" s="375" t="s">
        <v>171</v>
      </c>
      <c r="D116" s="374"/>
      <c r="E116" s="376" t="s">
        <v>14</v>
      </c>
      <c r="F116" s="377"/>
      <c r="G116" s="378"/>
      <c r="H116" s="380"/>
      <c r="I116" s="380"/>
    </row>
    <row r="117" spans="1:12" ht="13.2">
      <c r="B117" s="367" t="s">
        <v>248</v>
      </c>
      <c r="C117" s="60" t="s">
        <v>166</v>
      </c>
      <c r="D117" s="60"/>
      <c r="E117" s="61" t="s">
        <v>116</v>
      </c>
      <c r="F117" s="62" t="s">
        <v>13</v>
      </c>
      <c r="G117" s="63" t="s">
        <v>13</v>
      </c>
      <c r="H117" s="64"/>
      <c r="I117" s="65" t="s">
        <v>13</v>
      </c>
    </row>
    <row r="118" spans="1:12" ht="22.8">
      <c r="B118" s="368" t="s">
        <v>249</v>
      </c>
      <c r="C118" s="66"/>
      <c r="D118" s="66"/>
      <c r="E118" s="67" t="s">
        <v>160</v>
      </c>
      <c r="F118" s="62" t="s">
        <v>17</v>
      </c>
      <c r="G118" s="68">
        <v>42</v>
      </c>
      <c r="H118" s="69">
        <f>H5</f>
        <v>0</v>
      </c>
      <c r="I118" s="70">
        <f t="shared" ref="I118" si="16">ROUND($G118*H118,2)</f>
        <v>0</v>
      </c>
    </row>
    <row r="119" spans="1:12" ht="13.2">
      <c r="B119" s="367" t="s">
        <v>250</v>
      </c>
      <c r="C119" s="375" t="s">
        <v>172</v>
      </c>
      <c r="D119" s="374"/>
      <c r="E119" s="376" t="s">
        <v>20</v>
      </c>
      <c r="F119" s="377"/>
      <c r="G119" s="381"/>
      <c r="H119" s="397"/>
      <c r="I119" s="380"/>
    </row>
    <row r="120" spans="1:12" ht="24">
      <c r="B120" s="367"/>
      <c r="C120" s="71"/>
      <c r="D120" s="72"/>
      <c r="E120" s="73" t="s">
        <v>241</v>
      </c>
      <c r="F120" s="30"/>
      <c r="G120" s="31"/>
      <c r="H120" s="163"/>
      <c r="I120" s="32"/>
    </row>
    <row r="121" spans="1:12" ht="13.2">
      <c r="B121" s="367" t="s">
        <v>251</v>
      </c>
      <c r="C121" s="74" t="s">
        <v>173</v>
      </c>
      <c r="D121" s="75"/>
      <c r="E121" s="76" t="s">
        <v>115</v>
      </c>
      <c r="F121" s="62" t="s">
        <v>13</v>
      </c>
      <c r="G121" s="63" t="s">
        <v>13</v>
      </c>
      <c r="H121" s="64"/>
      <c r="I121" s="65" t="s">
        <v>13</v>
      </c>
    </row>
    <row r="122" spans="1:12" ht="13.2">
      <c r="B122" s="369"/>
      <c r="C122" s="77"/>
      <c r="D122" s="78"/>
      <c r="E122" s="79" t="s">
        <v>117</v>
      </c>
      <c r="F122" s="62" t="s">
        <v>13</v>
      </c>
      <c r="G122" s="63" t="s">
        <v>13</v>
      </c>
      <c r="H122" s="64"/>
      <c r="I122" s="65" t="s">
        <v>13</v>
      </c>
    </row>
    <row r="123" spans="1:12" ht="13.2">
      <c r="B123" s="368" t="s">
        <v>252</v>
      </c>
      <c r="C123" s="66"/>
      <c r="D123" s="82"/>
      <c r="E123" s="80" t="s">
        <v>365</v>
      </c>
      <c r="F123" s="81" t="s">
        <v>23</v>
      </c>
      <c r="G123" s="68">
        <v>56460</v>
      </c>
      <c r="H123" s="69">
        <f>L123*$K$5</f>
        <v>0</v>
      </c>
      <c r="I123" s="70">
        <f t="shared" ref="I123:I125" si="17">ROUND($G123*H123,2)</f>
        <v>0</v>
      </c>
    </row>
    <row r="124" spans="1:12" ht="13.2">
      <c r="B124" s="368" t="s">
        <v>253</v>
      </c>
      <c r="C124" s="66"/>
      <c r="D124" s="82"/>
      <c r="E124" s="80" t="s">
        <v>366</v>
      </c>
      <c r="F124" s="81" t="s">
        <v>23</v>
      </c>
      <c r="G124" s="164">
        <v>48180</v>
      </c>
      <c r="H124" s="69">
        <f t="shared" ref="H124:H125" si="18">L124*$K$5</f>
        <v>0</v>
      </c>
      <c r="I124" s="70">
        <f t="shared" si="17"/>
        <v>0</v>
      </c>
    </row>
    <row r="125" spans="1:12" s="4" customFormat="1" ht="13.2">
      <c r="A125" s="3"/>
      <c r="B125" s="368" t="s">
        <v>254</v>
      </c>
      <c r="C125" s="66"/>
      <c r="D125" s="82"/>
      <c r="E125" s="80" t="s">
        <v>163</v>
      </c>
      <c r="F125" s="81" t="s">
        <v>23</v>
      </c>
      <c r="G125" s="165">
        <v>810</v>
      </c>
      <c r="H125" s="69">
        <f t="shared" si="18"/>
        <v>0</v>
      </c>
      <c r="I125" s="70">
        <f t="shared" si="17"/>
        <v>0</v>
      </c>
      <c r="L125" s="53"/>
    </row>
    <row r="126" spans="1:12" ht="13.2">
      <c r="B126" s="369"/>
      <c r="C126" s="83"/>
      <c r="D126" s="84"/>
      <c r="E126" s="87" t="s">
        <v>26</v>
      </c>
      <c r="F126" s="81" t="s">
        <v>153</v>
      </c>
      <c r="G126" s="37"/>
      <c r="H126" s="166"/>
      <c r="I126" s="24" t="s">
        <v>13</v>
      </c>
    </row>
    <row r="127" spans="1:12" ht="13.2">
      <c r="B127" s="367" t="s">
        <v>256</v>
      </c>
      <c r="C127" s="375" t="s">
        <v>174</v>
      </c>
      <c r="D127" s="374"/>
      <c r="E127" s="376" t="s">
        <v>27</v>
      </c>
      <c r="F127" s="377"/>
      <c r="G127" s="381"/>
      <c r="H127" s="397"/>
      <c r="I127" s="380"/>
    </row>
    <row r="128" spans="1:12" ht="24">
      <c r="B128" s="367"/>
      <c r="C128" s="71"/>
      <c r="D128" s="72"/>
      <c r="E128" s="73" t="s">
        <v>241</v>
      </c>
      <c r="F128" s="30"/>
      <c r="G128" s="31"/>
      <c r="H128" s="163"/>
      <c r="I128" s="32"/>
    </row>
    <row r="129" spans="2:9" ht="13.2">
      <c r="B129" s="367" t="s">
        <v>257</v>
      </c>
      <c r="C129" s="74" t="s">
        <v>175</v>
      </c>
      <c r="D129" s="75"/>
      <c r="E129" s="76" t="s">
        <v>29</v>
      </c>
      <c r="F129" s="62" t="s">
        <v>13</v>
      </c>
      <c r="G129" s="62" t="s">
        <v>13</v>
      </c>
      <c r="H129" s="64"/>
      <c r="I129" s="65" t="s">
        <v>13</v>
      </c>
    </row>
    <row r="130" spans="2:9" ht="23.4" customHeight="1">
      <c r="B130" s="368" t="s">
        <v>258</v>
      </c>
      <c r="C130" s="98"/>
      <c r="D130" s="99"/>
      <c r="E130" s="76" t="s">
        <v>367</v>
      </c>
      <c r="F130" s="62" t="s">
        <v>17</v>
      </c>
      <c r="G130" s="68">
        <v>310</v>
      </c>
      <c r="H130" s="69">
        <f t="shared" ref="H130" si="19">L130*$K$5</f>
        <v>0</v>
      </c>
      <c r="I130" s="70">
        <f>ROUND($G130*H130,2)</f>
        <v>0</v>
      </c>
    </row>
    <row r="131" spans="2:9" ht="13.2">
      <c r="B131" s="367" t="s">
        <v>259</v>
      </c>
      <c r="C131" s="66" t="s">
        <v>176</v>
      </c>
      <c r="D131" s="66"/>
      <c r="E131" s="90" t="s">
        <v>31</v>
      </c>
      <c r="F131" s="81" t="s">
        <v>13</v>
      </c>
      <c r="G131" s="81" t="s">
        <v>13</v>
      </c>
      <c r="H131" s="167"/>
      <c r="I131" s="65" t="s">
        <v>13</v>
      </c>
    </row>
    <row r="132" spans="2:9" ht="13.2">
      <c r="B132" s="368" t="s">
        <v>260</v>
      </c>
      <c r="C132" s="66"/>
      <c r="D132" s="66"/>
      <c r="E132" s="67" t="s">
        <v>368</v>
      </c>
      <c r="F132" s="62" t="s">
        <v>17</v>
      </c>
      <c r="G132" s="68">
        <v>20</v>
      </c>
      <c r="H132" s="69">
        <v>0</v>
      </c>
      <c r="I132" s="70">
        <f t="shared" ref="I132:I133" si="20">ROUND($G132*H132,2)</f>
        <v>0</v>
      </c>
    </row>
    <row r="133" spans="2:9" ht="22.8">
      <c r="B133" s="368" t="s">
        <v>369</v>
      </c>
      <c r="C133" s="83"/>
      <c r="D133" s="83"/>
      <c r="E133" s="67" t="s">
        <v>370</v>
      </c>
      <c r="F133" s="62" t="s">
        <v>17</v>
      </c>
      <c r="G133" s="68">
        <v>1</v>
      </c>
      <c r="H133" s="69">
        <v>0</v>
      </c>
      <c r="I133" s="70">
        <f t="shared" si="20"/>
        <v>0</v>
      </c>
    </row>
    <row r="134" spans="2:9" ht="13.2">
      <c r="B134" s="367" t="s">
        <v>261</v>
      </c>
      <c r="C134" s="66" t="s">
        <v>177</v>
      </c>
      <c r="D134" s="66"/>
      <c r="E134" s="90" t="s">
        <v>129</v>
      </c>
      <c r="F134" s="81" t="s">
        <v>13</v>
      </c>
      <c r="G134" s="81" t="s">
        <v>13</v>
      </c>
      <c r="H134" s="168"/>
      <c r="I134" s="49" t="s">
        <v>13</v>
      </c>
    </row>
    <row r="135" spans="2:9" ht="13.2">
      <c r="B135" s="368" t="s">
        <v>262</v>
      </c>
      <c r="C135" s="66"/>
      <c r="D135" s="66"/>
      <c r="E135" s="67" t="s">
        <v>371</v>
      </c>
      <c r="F135" s="62" t="s">
        <v>17</v>
      </c>
      <c r="G135" s="68">
        <v>320</v>
      </c>
      <c r="H135" s="69">
        <f t="shared" ref="H135" si="21">L135*$K$5</f>
        <v>0</v>
      </c>
      <c r="I135" s="70">
        <f>ROUND($G135*H135,2)</f>
        <v>0</v>
      </c>
    </row>
    <row r="136" spans="2:9" ht="13.2">
      <c r="B136" s="369"/>
      <c r="C136" s="62"/>
      <c r="D136" s="95"/>
      <c r="E136" s="87" t="s">
        <v>39</v>
      </c>
      <c r="F136" s="62" t="s">
        <v>153</v>
      </c>
      <c r="G136" s="96"/>
      <c r="H136" s="166"/>
      <c r="I136" s="24" t="s">
        <v>13</v>
      </c>
    </row>
    <row r="137" spans="2:9" ht="13.2">
      <c r="B137" s="367" t="s">
        <v>263</v>
      </c>
      <c r="C137" s="74" t="s">
        <v>181</v>
      </c>
      <c r="D137" s="75"/>
      <c r="E137" s="97" t="s">
        <v>139</v>
      </c>
      <c r="F137" s="62" t="s">
        <v>13</v>
      </c>
      <c r="G137" s="62" t="s">
        <v>13</v>
      </c>
      <c r="H137" s="64"/>
      <c r="I137" s="65" t="s">
        <v>13</v>
      </c>
    </row>
    <row r="138" spans="2:9" ht="22.8">
      <c r="B138" s="368" t="s">
        <v>264</v>
      </c>
      <c r="C138" s="98"/>
      <c r="D138" s="99"/>
      <c r="E138" s="100" t="s">
        <v>140</v>
      </c>
      <c r="F138" s="62" t="s">
        <v>17</v>
      </c>
      <c r="G138" s="68">
        <f>210+15</f>
        <v>225</v>
      </c>
      <c r="H138" s="69">
        <f t="shared" ref="H138:H139" si="22">L138*$K$5</f>
        <v>0</v>
      </c>
      <c r="I138" s="70">
        <f t="shared" ref="I138:I139" si="23">ROUND($G138*H138,2)</f>
        <v>0</v>
      </c>
    </row>
    <row r="139" spans="2:9" ht="22.8">
      <c r="B139" s="368" t="s">
        <v>372</v>
      </c>
      <c r="C139" s="103"/>
      <c r="D139" s="104"/>
      <c r="E139" s="100" t="s">
        <v>141</v>
      </c>
      <c r="F139" s="62" t="s">
        <v>17</v>
      </c>
      <c r="G139" s="68">
        <v>2</v>
      </c>
      <c r="H139" s="69">
        <f t="shared" si="22"/>
        <v>0</v>
      </c>
      <c r="I139" s="70">
        <f t="shared" si="23"/>
        <v>0</v>
      </c>
    </row>
    <row r="140" spans="2:9" ht="13.2">
      <c r="B140" s="367" t="s">
        <v>272</v>
      </c>
      <c r="C140" s="375" t="s">
        <v>200</v>
      </c>
      <c r="D140" s="374"/>
      <c r="E140" s="376" t="s">
        <v>44</v>
      </c>
      <c r="F140" s="377"/>
      <c r="G140" s="383"/>
      <c r="H140" s="383"/>
      <c r="I140" s="380"/>
    </row>
    <row r="141" spans="2:9" ht="22.8">
      <c r="B141" s="368" t="s">
        <v>373</v>
      </c>
      <c r="C141" s="106" t="s">
        <v>120</v>
      </c>
      <c r="D141" s="106"/>
      <c r="E141" s="92" t="s">
        <v>340</v>
      </c>
      <c r="F141" s="62" t="s">
        <v>4</v>
      </c>
      <c r="G141" s="68">
        <v>3.4</v>
      </c>
      <c r="H141" s="69">
        <v>0</v>
      </c>
      <c r="I141" s="70">
        <f t="shared" ref="I141:I144" si="24">ROUND($G141*H141,2)</f>
        <v>0</v>
      </c>
    </row>
    <row r="142" spans="2:9" ht="22.8">
      <c r="B142" s="368" t="s">
        <v>374</v>
      </c>
      <c r="C142" s="106"/>
      <c r="D142" s="106"/>
      <c r="E142" s="92" t="s">
        <v>375</v>
      </c>
      <c r="F142" s="62" t="s">
        <v>4</v>
      </c>
      <c r="G142" s="68">
        <v>16.04</v>
      </c>
      <c r="H142" s="69">
        <v>0</v>
      </c>
      <c r="I142" s="70">
        <f t="shared" si="24"/>
        <v>0</v>
      </c>
    </row>
    <row r="143" spans="2:9" ht="34.200000000000003">
      <c r="B143" s="368" t="s">
        <v>376</v>
      </c>
      <c r="C143" s="106"/>
      <c r="D143" s="106"/>
      <c r="E143" s="92" t="s">
        <v>377</v>
      </c>
      <c r="F143" s="62" t="s">
        <v>4</v>
      </c>
      <c r="G143" s="68">
        <f>2*26.5</f>
        <v>53</v>
      </c>
      <c r="H143" s="69">
        <v>0</v>
      </c>
      <c r="I143" s="70">
        <f t="shared" si="24"/>
        <v>0</v>
      </c>
    </row>
    <row r="144" spans="2:9" ht="34.200000000000003">
      <c r="B144" s="368" t="s">
        <v>378</v>
      </c>
      <c r="C144" s="169"/>
      <c r="D144" s="169"/>
      <c r="E144" s="92" t="s">
        <v>379</v>
      </c>
      <c r="F144" s="62" t="s">
        <v>4</v>
      </c>
      <c r="G144" s="68">
        <v>53</v>
      </c>
      <c r="H144" s="69">
        <v>0</v>
      </c>
      <c r="I144" s="70">
        <f t="shared" si="24"/>
        <v>0</v>
      </c>
    </row>
    <row r="145" spans="2:9" ht="22.8">
      <c r="B145" s="368" t="s">
        <v>349</v>
      </c>
      <c r="C145" s="74" t="s">
        <v>355</v>
      </c>
      <c r="D145" s="74" t="s">
        <v>120</v>
      </c>
      <c r="E145" s="110" t="s">
        <v>357</v>
      </c>
      <c r="F145" s="170" t="s">
        <v>13</v>
      </c>
      <c r="G145" s="81" t="s">
        <v>13</v>
      </c>
      <c r="H145" s="69" t="str">
        <f>'[1]PR_02 most w km163+652'!$K65</f>
        <v>x</v>
      </c>
      <c r="I145" s="49" t="s">
        <v>13</v>
      </c>
    </row>
    <row r="146" spans="2:9" ht="22.8">
      <c r="B146" s="368" t="s">
        <v>351</v>
      </c>
      <c r="C146" s="171" t="s">
        <v>120</v>
      </c>
      <c r="D146" s="101"/>
      <c r="E146" s="90" t="s">
        <v>154</v>
      </c>
      <c r="F146" s="109" t="s">
        <v>15</v>
      </c>
      <c r="G146" s="68">
        <v>155</v>
      </c>
      <c r="H146" s="69">
        <f t="shared" ref="H146" si="25">L146*$K$5</f>
        <v>0</v>
      </c>
      <c r="I146" s="70">
        <f>ROUND($G146*H146,2)</f>
        <v>0</v>
      </c>
    </row>
    <row r="147" spans="2:9" ht="13.2">
      <c r="B147" s="367" t="s">
        <v>275</v>
      </c>
      <c r="C147" s="375" t="s">
        <v>201</v>
      </c>
      <c r="D147" s="374"/>
      <c r="E147" s="376" t="s">
        <v>380</v>
      </c>
      <c r="F147" s="377"/>
      <c r="G147" s="381"/>
      <c r="H147" s="381"/>
      <c r="I147" s="380"/>
    </row>
    <row r="148" spans="2:9" ht="24">
      <c r="B148" s="367"/>
      <c r="C148" s="71"/>
      <c r="D148" s="72"/>
      <c r="E148" s="73" t="s">
        <v>241</v>
      </c>
      <c r="F148" s="30"/>
      <c r="G148" s="31"/>
      <c r="H148" s="31"/>
      <c r="I148" s="32"/>
    </row>
    <row r="149" spans="2:9" ht="13.2">
      <c r="B149" s="367" t="s">
        <v>276</v>
      </c>
      <c r="C149" s="60" t="s">
        <v>182</v>
      </c>
      <c r="D149" s="60"/>
      <c r="E149" s="90" t="s">
        <v>49</v>
      </c>
      <c r="F149" s="62" t="s">
        <v>13</v>
      </c>
      <c r="G149" s="62" t="s">
        <v>13</v>
      </c>
      <c r="H149" s="69" t="s">
        <v>13</v>
      </c>
      <c r="I149" s="65" t="s">
        <v>13</v>
      </c>
    </row>
    <row r="150" spans="2:9" ht="34.200000000000003">
      <c r="B150" s="368" t="s">
        <v>277</v>
      </c>
      <c r="C150" s="66"/>
      <c r="D150" s="66"/>
      <c r="E150" s="110" t="s">
        <v>207</v>
      </c>
      <c r="F150" s="62" t="s">
        <v>15</v>
      </c>
      <c r="G150" s="68">
        <v>730</v>
      </c>
      <c r="H150" s="69">
        <v>0</v>
      </c>
      <c r="I150" s="70">
        <f t="shared" ref="I150:I151" si="26">ROUND($G150*H150,2)</f>
        <v>0</v>
      </c>
    </row>
    <row r="151" spans="2:9" ht="45.6">
      <c r="B151" s="368" t="s">
        <v>278</v>
      </c>
      <c r="C151" s="83"/>
      <c r="D151" s="83"/>
      <c r="E151" s="92" t="s">
        <v>149</v>
      </c>
      <c r="F151" s="62" t="s">
        <v>15</v>
      </c>
      <c r="G151" s="68">
        <v>28</v>
      </c>
      <c r="H151" s="69">
        <v>0</v>
      </c>
      <c r="I151" s="70">
        <f t="shared" si="26"/>
        <v>0</v>
      </c>
    </row>
    <row r="152" spans="2:9" ht="13.2">
      <c r="B152" s="367" t="s">
        <v>279</v>
      </c>
      <c r="C152" s="74" t="s">
        <v>168</v>
      </c>
      <c r="D152" s="74"/>
      <c r="E152" s="90" t="s">
        <v>155</v>
      </c>
      <c r="F152" s="81" t="s">
        <v>13</v>
      </c>
      <c r="G152" s="81" t="s">
        <v>13</v>
      </c>
      <c r="H152" s="69" t="str">
        <f>'[1]PR_02 most w km163+652'!$K77</f>
        <v>x</v>
      </c>
      <c r="I152" s="65" t="s">
        <v>13</v>
      </c>
    </row>
    <row r="153" spans="2:9" ht="22.8">
      <c r="B153" s="368" t="s">
        <v>280</v>
      </c>
      <c r="C153" s="103"/>
      <c r="D153" s="103"/>
      <c r="E153" s="110" t="s">
        <v>209</v>
      </c>
      <c r="F153" s="62" t="s">
        <v>15</v>
      </c>
      <c r="G153" s="68">
        <v>20</v>
      </c>
      <c r="H153" s="69">
        <v>0</v>
      </c>
      <c r="I153" s="70">
        <f>ROUND($G153*H153,2)</f>
        <v>0</v>
      </c>
    </row>
    <row r="154" spans="2:9" ht="13.2">
      <c r="B154" s="367" t="s">
        <v>282</v>
      </c>
      <c r="C154" s="74" t="s">
        <v>183</v>
      </c>
      <c r="D154" s="74"/>
      <c r="E154" s="90" t="s">
        <v>54</v>
      </c>
      <c r="F154" s="81" t="s">
        <v>13</v>
      </c>
      <c r="G154" s="81" t="s">
        <v>13</v>
      </c>
      <c r="H154" s="69" t="str">
        <f>'[1]PR_02 most w km163+652'!$K79</f>
        <v>x</v>
      </c>
      <c r="I154" s="65" t="s">
        <v>13</v>
      </c>
    </row>
    <row r="155" spans="2:9" ht="22.8">
      <c r="B155" s="368" t="s">
        <v>283</v>
      </c>
      <c r="C155" s="98"/>
      <c r="D155" s="98"/>
      <c r="E155" s="92" t="s">
        <v>156</v>
      </c>
      <c r="F155" s="62" t="s">
        <v>15</v>
      </c>
      <c r="G155" s="68">
        <v>65</v>
      </c>
      <c r="H155" s="69">
        <v>0</v>
      </c>
      <c r="I155" s="70">
        <f>ROUND($G155*H155,2)</f>
        <v>0</v>
      </c>
    </row>
    <row r="156" spans="2:9" ht="13.2">
      <c r="B156" s="367" t="s">
        <v>284</v>
      </c>
      <c r="C156" s="74" t="s">
        <v>184</v>
      </c>
      <c r="D156" s="74"/>
      <c r="E156" s="90" t="s">
        <v>121</v>
      </c>
      <c r="F156" s="81" t="s">
        <v>13</v>
      </c>
      <c r="G156" s="81" t="s">
        <v>13</v>
      </c>
      <c r="H156" s="69" t="str">
        <f>'[1]PR_02 most w km163+652'!$K81</f>
        <v>x</v>
      </c>
      <c r="I156" s="49" t="s">
        <v>13</v>
      </c>
    </row>
    <row r="157" spans="2:9" ht="22.8">
      <c r="B157" s="368" t="s">
        <v>285</v>
      </c>
      <c r="C157" s="98"/>
      <c r="D157" s="98"/>
      <c r="E157" s="111" t="s">
        <v>122</v>
      </c>
      <c r="F157" s="83" t="s">
        <v>15</v>
      </c>
      <c r="G157" s="68">
        <v>220</v>
      </c>
      <c r="H157" s="69">
        <v>0</v>
      </c>
      <c r="I157" s="70">
        <f>ROUND($G157*H157,2)</f>
        <v>0</v>
      </c>
    </row>
    <row r="158" spans="2:9" ht="13.2">
      <c r="B158" s="367" t="s">
        <v>286</v>
      </c>
      <c r="C158" s="74" t="s">
        <v>185</v>
      </c>
      <c r="D158" s="74"/>
      <c r="E158" s="90" t="s">
        <v>151</v>
      </c>
      <c r="F158" s="81" t="s">
        <v>13</v>
      </c>
      <c r="G158" s="81" t="s">
        <v>13</v>
      </c>
      <c r="H158" s="69" t="str">
        <f>'[1]PR_02 most w km163+652'!$K83</f>
        <v>x</v>
      </c>
      <c r="I158" s="65" t="s">
        <v>13</v>
      </c>
    </row>
    <row r="159" spans="2:9" ht="22.8">
      <c r="B159" s="368" t="s">
        <v>287</v>
      </c>
      <c r="C159" s="98"/>
      <c r="D159" s="98"/>
      <c r="E159" s="90" t="s">
        <v>152</v>
      </c>
      <c r="F159" s="83" t="s">
        <v>15</v>
      </c>
      <c r="G159" s="68">
        <v>155</v>
      </c>
      <c r="H159" s="69">
        <v>0</v>
      </c>
      <c r="I159" s="70">
        <f>ROUND($G159*H159,2)</f>
        <v>0</v>
      </c>
    </row>
    <row r="160" spans="2:9" ht="13.2">
      <c r="B160" s="369"/>
      <c r="C160" s="12"/>
      <c r="D160" s="25"/>
      <c r="E160" s="87" t="s">
        <v>58</v>
      </c>
      <c r="F160" s="13" t="s">
        <v>153</v>
      </c>
      <c r="G160" s="96"/>
      <c r="H160" s="69" t="str">
        <f>'[1]PR_02 most w km163+652'!$K74</f>
        <v>x</v>
      </c>
      <c r="I160" s="24" t="s">
        <v>13</v>
      </c>
    </row>
    <row r="161" spans="2:9" ht="13.2">
      <c r="B161" s="367" t="s">
        <v>288</v>
      </c>
      <c r="C161" s="385" t="s">
        <v>186</v>
      </c>
      <c r="D161" s="386"/>
      <c r="E161" s="387" t="s">
        <v>81</v>
      </c>
      <c r="F161" s="388"/>
      <c r="G161" s="381"/>
      <c r="H161" s="381"/>
      <c r="I161" s="380"/>
    </row>
    <row r="162" spans="2:9" ht="24">
      <c r="B162" s="367"/>
      <c r="C162" s="71"/>
      <c r="D162" s="72"/>
      <c r="E162" s="73" t="s">
        <v>241</v>
      </c>
      <c r="F162" s="30"/>
      <c r="G162" s="112"/>
      <c r="H162" s="112"/>
      <c r="I162" s="113"/>
    </row>
    <row r="163" spans="2:9" ht="13.2">
      <c r="B163" s="367" t="s">
        <v>289</v>
      </c>
      <c r="C163" s="74" t="s">
        <v>381</v>
      </c>
      <c r="D163" s="91"/>
      <c r="E163" s="172" t="s">
        <v>382</v>
      </c>
      <c r="F163" s="62" t="s">
        <v>13</v>
      </c>
      <c r="G163" s="114" t="s">
        <v>13</v>
      </c>
      <c r="H163" s="69" t="str">
        <f>'[1]PR_02 most w km163+652'!$K77</f>
        <v>x</v>
      </c>
      <c r="I163" s="65" t="s">
        <v>13</v>
      </c>
    </row>
    <row r="164" spans="2:9" ht="22.8">
      <c r="B164" s="368" t="s">
        <v>290</v>
      </c>
      <c r="C164" s="173"/>
      <c r="D164" s="173"/>
      <c r="E164" s="67" t="s">
        <v>383</v>
      </c>
      <c r="F164" s="62" t="s">
        <v>3</v>
      </c>
      <c r="G164" s="68">
        <v>12</v>
      </c>
      <c r="H164" s="69">
        <v>0</v>
      </c>
      <c r="I164" s="70">
        <f>ROUND($G164*H164,2)</f>
        <v>0</v>
      </c>
    </row>
    <row r="165" spans="2:9" ht="13.2">
      <c r="B165" s="367" t="s">
        <v>384</v>
      </c>
      <c r="C165" s="74" t="s">
        <v>187</v>
      </c>
      <c r="D165" s="74"/>
      <c r="E165" s="61" t="s">
        <v>360</v>
      </c>
      <c r="F165" s="62" t="s">
        <v>13</v>
      </c>
      <c r="G165" s="114" t="s">
        <v>13</v>
      </c>
      <c r="H165" s="69" t="str">
        <f>'[1]PR_02 most w km163+652'!$K90</f>
        <v>x</v>
      </c>
      <c r="I165" s="65" t="s">
        <v>13</v>
      </c>
    </row>
    <row r="166" spans="2:9" ht="22.8">
      <c r="B166" s="368" t="s">
        <v>385</v>
      </c>
      <c r="C166" s="115"/>
      <c r="D166" s="115"/>
      <c r="E166" s="67" t="s">
        <v>386</v>
      </c>
      <c r="F166" s="62" t="s">
        <v>4</v>
      </c>
      <c r="G166" s="68">
        <v>52</v>
      </c>
      <c r="H166" s="69">
        <v>0</v>
      </c>
      <c r="I166" s="70">
        <f>ROUND($G166*H166,2)</f>
        <v>0</v>
      </c>
    </row>
    <row r="167" spans="2:9" ht="22.8">
      <c r="B167" s="368" t="s">
        <v>387</v>
      </c>
      <c r="C167" s="115"/>
      <c r="D167" s="115"/>
      <c r="E167" s="67" t="s">
        <v>388</v>
      </c>
      <c r="F167" s="62" t="s">
        <v>4</v>
      </c>
      <c r="G167" s="68">
        <v>55</v>
      </c>
      <c r="H167" s="69">
        <v>0</v>
      </c>
      <c r="I167" s="70">
        <f>ROUND($G167*H167,2)</f>
        <v>0</v>
      </c>
    </row>
    <row r="168" spans="2:9" ht="22.8">
      <c r="B168" s="368" t="s">
        <v>389</v>
      </c>
      <c r="C168" s="115"/>
      <c r="D168" s="115"/>
      <c r="E168" s="116" t="s">
        <v>157</v>
      </c>
      <c r="F168" s="62" t="s">
        <v>3</v>
      </c>
      <c r="G168" s="117">
        <v>6</v>
      </c>
      <c r="H168" s="69">
        <v>0</v>
      </c>
      <c r="I168" s="70">
        <f>ROUND($G168*H168,2)</f>
        <v>0</v>
      </c>
    </row>
    <row r="169" spans="2:9" ht="13.2">
      <c r="B169" s="369"/>
      <c r="C169" s="73"/>
      <c r="D169" s="118"/>
      <c r="E169" s="112" t="s">
        <v>85</v>
      </c>
      <c r="F169" s="13" t="s">
        <v>153</v>
      </c>
      <c r="G169" s="119"/>
      <c r="H169" s="69" t="str">
        <f>'[1]PR_02 most w km163+652'!$K83</f>
        <v>x</v>
      </c>
      <c r="I169" s="24" t="s">
        <v>13</v>
      </c>
    </row>
    <row r="170" spans="2:9" ht="13.2">
      <c r="B170" s="367" t="s">
        <v>390</v>
      </c>
      <c r="C170" s="385" t="s">
        <v>391</v>
      </c>
      <c r="D170" s="386"/>
      <c r="E170" s="387" t="s">
        <v>392</v>
      </c>
      <c r="F170" s="388"/>
      <c r="G170" s="383"/>
      <c r="H170" s="383"/>
      <c r="I170" s="380"/>
    </row>
    <row r="171" spans="2:9" ht="24">
      <c r="B171" s="367"/>
      <c r="C171" s="71"/>
      <c r="D171" s="72"/>
      <c r="E171" s="73" t="s">
        <v>241</v>
      </c>
      <c r="F171" s="30"/>
      <c r="G171" s="105"/>
      <c r="H171" s="69" t="str">
        <f>'[1]PR_02 most w km163+652'!$K85</f>
        <v>x</v>
      </c>
      <c r="I171" s="32"/>
    </row>
    <row r="172" spans="2:9" ht="13.2">
      <c r="B172" s="368" t="s">
        <v>393</v>
      </c>
      <c r="C172" s="74" t="s">
        <v>394</v>
      </c>
      <c r="D172" s="75"/>
      <c r="E172" s="122" t="s">
        <v>395</v>
      </c>
      <c r="F172" s="62" t="s">
        <v>13</v>
      </c>
      <c r="G172" s="62" t="s">
        <v>13</v>
      </c>
      <c r="H172" s="62" t="s">
        <v>13</v>
      </c>
      <c r="I172" s="49" t="s">
        <v>13</v>
      </c>
    </row>
    <row r="173" spans="2:9" ht="13.2">
      <c r="B173" s="368" t="s">
        <v>396</v>
      </c>
      <c r="C173" s="98"/>
      <c r="D173" s="99"/>
      <c r="E173" s="122" t="s">
        <v>397</v>
      </c>
      <c r="F173" s="62" t="s">
        <v>13</v>
      </c>
      <c r="G173" s="62" t="s">
        <v>13</v>
      </c>
      <c r="H173" s="62" t="s">
        <v>13</v>
      </c>
      <c r="I173" s="49" t="s">
        <v>13</v>
      </c>
    </row>
    <row r="174" spans="2:9" ht="13.2">
      <c r="B174" s="368" t="s">
        <v>398</v>
      </c>
      <c r="C174" s="103"/>
      <c r="D174" s="104"/>
      <c r="E174" s="85" t="s">
        <v>399</v>
      </c>
      <c r="F174" s="62" t="s">
        <v>3</v>
      </c>
      <c r="G174" s="68">
        <v>2</v>
      </c>
      <c r="H174" s="69">
        <v>0</v>
      </c>
      <c r="I174" s="70">
        <f t="shared" ref="I174:I176" si="27">ROUND($G174*H174,2)</f>
        <v>0</v>
      </c>
    </row>
    <row r="175" spans="2:9" ht="13.2">
      <c r="B175" s="368" t="s">
        <v>400</v>
      </c>
      <c r="C175" s="103"/>
      <c r="D175" s="104"/>
      <c r="E175" s="174" t="s">
        <v>401</v>
      </c>
      <c r="F175" s="62" t="s">
        <v>3</v>
      </c>
      <c r="G175" s="68">
        <v>2</v>
      </c>
      <c r="H175" s="69">
        <v>0</v>
      </c>
      <c r="I175" s="70">
        <f t="shared" si="27"/>
        <v>0</v>
      </c>
    </row>
    <row r="176" spans="2:9" ht="13.2">
      <c r="B176" s="368" t="s">
        <v>402</v>
      </c>
      <c r="C176" s="101"/>
      <c r="D176" s="102"/>
      <c r="E176" s="174" t="s">
        <v>403</v>
      </c>
      <c r="F176" s="62" t="s">
        <v>3</v>
      </c>
      <c r="G176" s="68">
        <v>4</v>
      </c>
      <c r="H176" s="186">
        <v>0</v>
      </c>
      <c r="I176" s="70">
        <f t="shared" si="27"/>
        <v>0</v>
      </c>
    </row>
    <row r="177" spans="2:9" ht="13.2">
      <c r="B177" s="369"/>
      <c r="C177" s="12"/>
      <c r="D177" s="25"/>
      <c r="E177" s="87" t="s">
        <v>404</v>
      </c>
      <c r="F177" s="13" t="s">
        <v>153</v>
      </c>
      <c r="G177" s="119"/>
      <c r="H177" s="190"/>
      <c r="I177" s="187" t="s">
        <v>13</v>
      </c>
    </row>
    <row r="178" spans="2:9" ht="13.2">
      <c r="B178" s="367" t="s">
        <v>292</v>
      </c>
      <c r="C178" s="375" t="s">
        <v>188</v>
      </c>
      <c r="D178" s="374"/>
      <c r="E178" s="376" t="s">
        <v>59</v>
      </c>
      <c r="F178" s="377"/>
      <c r="G178" s="381"/>
      <c r="H178" s="382"/>
      <c r="I178" s="396"/>
    </row>
    <row r="179" spans="2:9" ht="24">
      <c r="B179" s="367"/>
      <c r="C179" s="71"/>
      <c r="D179" s="72"/>
      <c r="E179" s="73" t="s">
        <v>241</v>
      </c>
      <c r="F179" s="30"/>
      <c r="G179" s="31"/>
      <c r="H179" s="185"/>
      <c r="I179" s="32"/>
    </row>
    <row r="180" spans="2:9" ht="13.2">
      <c r="B180" s="367" t="s">
        <v>293</v>
      </c>
      <c r="C180" s="120" t="s">
        <v>405</v>
      </c>
      <c r="D180" s="121"/>
      <c r="E180" s="122" t="s">
        <v>406</v>
      </c>
      <c r="F180" s="62" t="s">
        <v>13</v>
      </c>
      <c r="G180" s="62" t="s">
        <v>13</v>
      </c>
      <c r="H180" s="189" t="str">
        <f>'[1]PR_02 most w km163+652'!$K94</f>
        <v>x</v>
      </c>
      <c r="I180" s="65" t="s">
        <v>13</v>
      </c>
    </row>
    <row r="181" spans="2:9" ht="57.6" customHeight="1">
      <c r="B181" s="368" t="s">
        <v>294</v>
      </c>
      <c r="C181" s="123"/>
      <c r="D181" s="124"/>
      <c r="E181" s="80" t="s">
        <v>407</v>
      </c>
      <c r="F181" s="81" t="s">
        <v>4</v>
      </c>
      <c r="G181" s="68">
        <v>23.1</v>
      </c>
      <c r="H181" s="69">
        <v>0</v>
      </c>
      <c r="I181" s="70">
        <f>ROUND($G181*H181,2)</f>
        <v>0</v>
      </c>
    </row>
    <row r="182" spans="2:9" ht="13.2">
      <c r="B182" s="367" t="s">
        <v>408</v>
      </c>
      <c r="C182" s="120" t="s">
        <v>189</v>
      </c>
      <c r="D182" s="121"/>
      <c r="E182" s="122" t="s">
        <v>60</v>
      </c>
      <c r="F182" s="62" t="s">
        <v>13</v>
      </c>
      <c r="G182" s="62" t="s">
        <v>13</v>
      </c>
      <c r="H182" s="69" t="str">
        <f>'[1]PR_02 most w km163+652'!$K107</f>
        <v>x</v>
      </c>
      <c r="I182" s="65" t="s">
        <v>13</v>
      </c>
    </row>
    <row r="183" spans="2:9" ht="34.200000000000003">
      <c r="B183" s="368" t="s">
        <v>409</v>
      </c>
      <c r="C183" s="123"/>
      <c r="D183" s="124"/>
      <c r="E183" s="85" t="s">
        <v>410</v>
      </c>
      <c r="F183" s="81" t="s">
        <v>4</v>
      </c>
      <c r="G183" s="68">
        <v>24.8</v>
      </c>
      <c r="H183" s="69">
        <v>0</v>
      </c>
      <c r="I183" s="70">
        <f t="shared" ref="I183:I184" si="28">ROUND($G183*H183,2)</f>
        <v>0</v>
      </c>
    </row>
    <row r="184" spans="2:9" ht="34.200000000000003">
      <c r="B184" s="368" t="s">
        <v>411</v>
      </c>
      <c r="C184" s="125"/>
      <c r="D184" s="126"/>
      <c r="E184" s="127" t="s">
        <v>144</v>
      </c>
      <c r="F184" s="128" t="s">
        <v>4</v>
      </c>
      <c r="G184" s="68">
        <v>22.1</v>
      </c>
      <c r="H184" s="69">
        <v>0</v>
      </c>
      <c r="I184" s="70">
        <f t="shared" si="28"/>
        <v>0</v>
      </c>
    </row>
    <row r="185" spans="2:9" ht="13.2">
      <c r="B185" s="368" t="s">
        <v>412</v>
      </c>
      <c r="C185" s="60" t="s">
        <v>413</v>
      </c>
      <c r="D185" s="60"/>
      <c r="E185" s="135" t="s">
        <v>414</v>
      </c>
      <c r="F185" s="136" t="s">
        <v>13</v>
      </c>
      <c r="G185" s="136" t="s">
        <v>13</v>
      </c>
      <c r="H185" s="136" t="s">
        <v>13</v>
      </c>
      <c r="I185" s="65" t="s">
        <v>13</v>
      </c>
    </row>
    <row r="186" spans="2:9" ht="13.2">
      <c r="B186" s="367" t="s">
        <v>297</v>
      </c>
      <c r="C186" s="375" t="s">
        <v>190</v>
      </c>
      <c r="D186" s="374"/>
      <c r="E186" s="376" t="s">
        <v>62</v>
      </c>
      <c r="F186" s="377"/>
      <c r="G186" s="381"/>
      <c r="H186" s="381"/>
      <c r="I186" s="380"/>
    </row>
    <row r="187" spans="2:9" ht="24">
      <c r="B187" s="367"/>
      <c r="C187" s="71"/>
      <c r="D187" s="72"/>
      <c r="E187" s="73" t="s">
        <v>241</v>
      </c>
      <c r="F187" s="30"/>
      <c r="G187" s="31"/>
      <c r="H187"/>
      <c r="I187" s="32"/>
    </row>
    <row r="188" spans="2:9" ht="13.2">
      <c r="B188" s="367" t="s">
        <v>298</v>
      </c>
      <c r="C188" s="60" t="s">
        <v>191</v>
      </c>
      <c r="D188" s="60"/>
      <c r="E188" s="90" t="s">
        <v>244</v>
      </c>
      <c r="F188" s="62" t="s">
        <v>13</v>
      </c>
      <c r="G188" s="62" t="s">
        <v>13</v>
      </c>
      <c r="H188" s="69" t="str">
        <f>'[1]PR_02 most w km163+652'!$K102</f>
        <v>x</v>
      </c>
      <c r="I188" s="65" t="s">
        <v>13</v>
      </c>
    </row>
    <row r="189" spans="2:9" ht="22.8">
      <c r="B189" s="368" t="s">
        <v>299</v>
      </c>
      <c r="C189" s="66"/>
      <c r="D189" s="66"/>
      <c r="E189" s="131" t="s">
        <v>245</v>
      </c>
      <c r="F189" s="132" t="s">
        <v>23</v>
      </c>
      <c r="G189" s="68">
        <v>1140</v>
      </c>
      <c r="H189" s="69">
        <v>0</v>
      </c>
      <c r="I189" s="70">
        <f t="shared" ref="I189:I190" si="29">ROUND($G189*H189,2)</f>
        <v>0</v>
      </c>
    </row>
    <row r="190" spans="2:9" ht="22.8">
      <c r="B190" s="368" t="s">
        <v>300</v>
      </c>
      <c r="C190" s="66"/>
      <c r="D190" s="66"/>
      <c r="E190" s="131" t="s">
        <v>246</v>
      </c>
      <c r="F190" s="132" t="s">
        <v>23</v>
      </c>
      <c r="G190" s="68">
        <v>1650</v>
      </c>
      <c r="H190" s="69">
        <v>0</v>
      </c>
      <c r="I190" s="70">
        <f t="shared" si="29"/>
        <v>0</v>
      </c>
    </row>
    <row r="191" spans="2:9" ht="13.2">
      <c r="B191" s="369"/>
      <c r="C191" s="12"/>
      <c r="D191" s="25"/>
      <c r="E191" s="87" t="s">
        <v>63</v>
      </c>
      <c r="F191" s="13"/>
      <c r="G191" s="134"/>
      <c r="H191" s="186" t="str">
        <f>'[1]PR_02 most w km163+652'!$K105</f>
        <v>x</v>
      </c>
      <c r="I191" s="24" t="s">
        <v>13</v>
      </c>
    </row>
    <row r="192" spans="2:9" ht="13.2">
      <c r="B192" s="367" t="s">
        <v>301</v>
      </c>
      <c r="C192" s="375" t="s">
        <v>192</v>
      </c>
      <c r="D192" s="374"/>
      <c r="E192" s="376" t="s">
        <v>64</v>
      </c>
      <c r="F192" s="377"/>
      <c r="G192" s="394"/>
      <c r="H192" s="395"/>
      <c r="I192" s="396"/>
    </row>
    <row r="193" spans="2:9" ht="24">
      <c r="B193" s="367"/>
      <c r="C193" s="399"/>
      <c r="D193" s="400"/>
      <c r="E193" s="401" t="s">
        <v>241</v>
      </c>
      <c r="F193" s="392"/>
      <c r="G193" s="402"/>
      <c r="H193"/>
      <c r="I193" s="403"/>
    </row>
    <row r="194" spans="2:9" ht="13.2">
      <c r="B194" s="367" t="s">
        <v>302</v>
      </c>
      <c r="C194" s="60" t="s">
        <v>193</v>
      </c>
      <c r="D194" s="60"/>
      <c r="E194" s="135" t="s">
        <v>66</v>
      </c>
      <c r="F194" s="136" t="s">
        <v>13</v>
      </c>
      <c r="G194" s="136" t="s">
        <v>13</v>
      </c>
      <c r="H194" s="69" t="s">
        <v>13</v>
      </c>
      <c r="I194" s="65" t="s">
        <v>13</v>
      </c>
    </row>
    <row r="195" spans="2:9" ht="22.8">
      <c r="B195" s="368" t="s">
        <v>303</v>
      </c>
      <c r="C195" s="83"/>
      <c r="D195" s="83"/>
      <c r="E195" s="116" t="s">
        <v>158</v>
      </c>
      <c r="F195" s="137" t="s">
        <v>16</v>
      </c>
      <c r="G195" s="68">
        <v>160</v>
      </c>
      <c r="H195" s="69">
        <v>0</v>
      </c>
      <c r="I195" s="70">
        <f>ROUND($G195*H195,2)</f>
        <v>0</v>
      </c>
    </row>
    <row r="196" spans="2:9" ht="13.2">
      <c r="B196" s="367" t="s">
        <v>304</v>
      </c>
      <c r="C196" s="74" t="s">
        <v>194</v>
      </c>
      <c r="D196" s="74"/>
      <c r="E196" s="135" t="s">
        <v>68</v>
      </c>
      <c r="F196" s="136" t="s">
        <v>13</v>
      </c>
      <c r="G196" s="136" t="s">
        <v>13</v>
      </c>
      <c r="H196" s="69" t="str">
        <f>'[1]PR_02 most w km163+652'!$K123</f>
        <v>x</v>
      </c>
      <c r="I196" s="65" t="s">
        <v>13</v>
      </c>
    </row>
    <row r="197" spans="2:9" ht="34.799999999999997">
      <c r="B197" s="368" t="s">
        <v>305</v>
      </c>
      <c r="C197" s="98"/>
      <c r="D197" s="98"/>
      <c r="E197" s="116" t="s">
        <v>208</v>
      </c>
      <c r="F197" s="136" t="s">
        <v>4</v>
      </c>
      <c r="G197" s="68">
        <v>20</v>
      </c>
      <c r="H197" s="69">
        <v>0</v>
      </c>
      <c r="I197" s="70">
        <f>ROUND($G197*H197,2)</f>
        <v>0</v>
      </c>
    </row>
    <row r="198" spans="2:9" ht="13.2">
      <c r="B198" s="368" t="s">
        <v>306</v>
      </c>
      <c r="C198" s="101"/>
      <c r="D198" s="103"/>
      <c r="E198" s="138" t="s">
        <v>133</v>
      </c>
      <c r="F198" s="136" t="s">
        <v>3</v>
      </c>
      <c r="G198" s="117">
        <v>2</v>
      </c>
      <c r="H198" s="69">
        <v>0</v>
      </c>
      <c r="I198" s="175">
        <f>G198*H198</f>
        <v>0</v>
      </c>
    </row>
    <row r="199" spans="2:9" ht="13.2">
      <c r="B199" s="367" t="s">
        <v>307</v>
      </c>
      <c r="C199" s="74" t="s">
        <v>169</v>
      </c>
      <c r="D199" s="75"/>
      <c r="E199" s="122" t="s">
        <v>69</v>
      </c>
      <c r="F199" s="62" t="s">
        <v>13</v>
      </c>
      <c r="G199" s="62" t="s">
        <v>13</v>
      </c>
      <c r="H199" s="69" t="str">
        <f>'[1]PR_02 most w km163+652'!$K126</f>
        <v>x</v>
      </c>
      <c r="I199" s="65" t="s">
        <v>13</v>
      </c>
    </row>
    <row r="200" spans="2:9" ht="34.200000000000003">
      <c r="B200" s="368" t="s">
        <v>308</v>
      </c>
      <c r="C200" s="98"/>
      <c r="D200" s="99"/>
      <c r="E200" s="80" t="s">
        <v>161</v>
      </c>
      <c r="F200" s="81" t="s">
        <v>16</v>
      </c>
      <c r="G200" s="68">
        <v>435</v>
      </c>
      <c r="H200" s="69">
        <f>L200*$K$5</f>
        <v>0</v>
      </c>
      <c r="I200" s="70">
        <f t="shared" ref="I200:I202" si="30">ROUND($G200*H200,2)</f>
        <v>0</v>
      </c>
    </row>
    <row r="201" spans="2:9" ht="22.8">
      <c r="B201" s="368" t="s">
        <v>309</v>
      </c>
      <c r="C201" s="98"/>
      <c r="D201" s="99"/>
      <c r="E201" s="80" t="s">
        <v>70</v>
      </c>
      <c r="F201" s="62" t="s">
        <v>4</v>
      </c>
      <c r="G201" s="68">
        <v>44</v>
      </c>
      <c r="H201" s="69">
        <v>0</v>
      </c>
      <c r="I201" s="70">
        <f t="shared" si="30"/>
        <v>0</v>
      </c>
    </row>
    <row r="202" spans="2:9" ht="22.8">
      <c r="B202" s="368" t="s">
        <v>310</v>
      </c>
      <c r="C202" s="98"/>
      <c r="D202" s="98"/>
      <c r="E202" s="139" t="s">
        <v>142</v>
      </c>
      <c r="F202" s="62" t="s">
        <v>4</v>
      </c>
      <c r="G202" s="68">
        <v>9</v>
      </c>
      <c r="H202" s="69">
        <v>0</v>
      </c>
      <c r="I202" s="70">
        <f t="shared" si="30"/>
        <v>0</v>
      </c>
    </row>
    <row r="203" spans="2:9" ht="13.2">
      <c r="B203" s="367" t="s">
        <v>311</v>
      </c>
      <c r="C203" s="60" t="s">
        <v>195</v>
      </c>
      <c r="D203" s="60"/>
      <c r="E203" s="90" t="s">
        <v>71</v>
      </c>
      <c r="F203" s="140" t="s">
        <v>13</v>
      </c>
      <c r="G203" s="140" t="s">
        <v>13</v>
      </c>
      <c r="H203" s="176"/>
      <c r="I203" s="65" t="s">
        <v>13</v>
      </c>
    </row>
    <row r="204" spans="2:9" ht="57">
      <c r="B204" s="368" t="s">
        <v>312</v>
      </c>
      <c r="C204" s="66"/>
      <c r="D204" s="66"/>
      <c r="E204" s="141" t="s">
        <v>127</v>
      </c>
      <c r="F204" s="137" t="s">
        <v>16</v>
      </c>
      <c r="G204" s="68">
        <v>180</v>
      </c>
      <c r="H204" s="69">
        <v>0</v>
      </c>
      <c r="I204" s="70">
        <f t="shared" ref="I204:I205" si="31">ROUND($G204*H204,2)</f>
        <v>0</v>
      </c>
    </row>
    <row r="205" spans="2:9" ht="45.6">
      <c r="B205" s="368" t="s">
        <v>313</v>
      </c>
      <c r="C205" s="83"/>
      <c r="D205" s="83"/>
      <c r="E205" s="67" t="s">
        <v>125</v>
      </c>
      <c r="F205" s="81" t="s">
        <v>16</v>
      </c>
      <c r="G205" s="68">
        <v>140</v>
      </c>
      <c r="H205" s="69">
        <v>0</v>
      </c>
      <c r="I205" s="70">
        <f t="shared" si="31"/>
        <v>0</v>
      </c>
    </row>
    <row r="206" spans="2:9" ht="13.2">
      <c r="B206" s="367" t="s">
        <v>314</v>
      </c>
      <c r="C206" s="60" t="s">
        <v>170</v>
      </c>
      <c r="D206" s="60"/>
      <c r="E206" s="61" t="s">
        <v>72</v>
      </c>
      <c r="F206" s="81" t="s">
        <v>13</v>
      </c>
      <c r="G206" s="143" t="s">
        <v>13</v>
      </c>
      <c r="H206" s="69" t="str">
        <f>'[1]PR_02 most w km163+652'!$K136</f>
        <v>x</v>
      </c>
      <c r="I206" s="65" t="s">
        <v>13</v>
      </c>
    </row>
    <row r="207" spans="2:9" ht="34.200000000000003">
      <c r="B207" s="368" t="s">
        <v>315</v>
      </c>
      <c r="C207" s="66"/>
      <c r="D207" s="66"/>
      <c r="E207" s="144" t="s">
        <v>148</v>
      </c>
      <c r="F207" s="81" t="s">
        <v>4</v>
      </c>
      <c r="G207" s="68">
        <v>23</v>
      </c>
      <c r="H207" s="69">
        <v>0</v>
      </c>
      <c r="I207" s="70">
        <f>ROUND($G207*H207,2)</f>
        <v>0</v>
      </c>
    </row>
    <row r="208" spans="2:9" ht="22.8">
      <c r="B208" s="367" t="s">
        <v>316</v>
      </c>
      <c r="C208" s="60" t="s">
        <v>196</v>
      </c>
      <c r="D208" s="60"/>
      <c r="E208" s="145" t="s">
        <v>131</v>
      </c>
      <c r="F208" s="146" t="s">
        <v>13</v>
      </c>
      <c r="G208" s="146" t="s">
        <v>13</v>
      </c>
      <c r="H208" s="69" t="str">
        <f>'[1]PR_02 most w km163+652'!$K138</f>
        <v>x</v>
      </c>
      <c r="I208" s="65" t="s">
        <v>13</v>
      </c>
    </row>
    <row r="209" spans="2:9" ht="34.200000000000003">
      <c r="B209" s="368" t="s">
        <v>317</v>
      </c>
      <c r="C209" s="66"/>
      <c r="D209" s="66"/>
      <c r="E209" s="147" t="s">
        <v>206</v>
      </c>
      <c r="F209" s="146" t="s">
        <v>4</v>
      </c>
      <c r="G209" s="68">
        <v>60</v>
      </c>
      <c r="H209" s="69">
        <v>0</v>
      </c>
      <c r="I209" s="70">
        <f t="shared" ref="I209:I211" si="32">ROUND($G209*H209,2)</f>
        <v>0</v>
      </c>
    </row>
    <row r="210" spans="2:9" ht="22.8">
      <c r="B210" s="368" t="s">
        <v>318</v>
      </c>
      <c r="C210" s="66"/>
      <c r="D210" s="66"/>
      <c r="E210" s="147" t="s">
        <v>147</v>
      </c>
      <c r="F210" s="146" t="s">
        <v>4</v>
      </c>
      <c r="G210" s="68">
        <v>14</v>
      </c>
      <c r="H210" s="69">
        <v>0</v>
      </c>
      <c r="I210" s="70">
        <f t="shared" si="32"/>
        <v>0</v>
      </c>
    </row>
    <row r="211" spans="2:9" ht="15.6">
      <c r="B211" s="368" t="s">
        <v>319</v>
      </c>
      <c r="C211" s="66"/>
      <c r="D211" s="66"/>
      <c r="E211" s="147" t="s">
        <v>145</v>
      </c>
      <c r="F211" s="146" t="s">
        <v>76</v>
      </c>
      <c r="G211" s="68">
        <v>4</v>
      </c>
      <c r="H211" s="69">
        <v>0</v>
      </c>
      <c r="I211" s="70">
        <f t="shared" si="32"/>
        <v>0</v>
      </c>
    </row>
    <row r="212" spans="2:9" ht="22.8">
      <c r="B212" s="367" t="s">
        <v>320</v>
      </c>
      <c r="C212" s="74" t="s">
        <v>197</v>
      </c>
      <c r="D212" s="74"/>
      <c r="E212" s="148" t="s">
        <v>73</v>
      </c>
      <c r="F212" s="81" t="s">
        <v>13</v>
      </c>
      <c r="G212" s="81" t="s">
        <v>13</v>
      </c>
      <c r="H212" s="69" t="str">
        <f>'[1]PR_02 most w km163+652'!$K142</f>
        <v>x</v>
      </c>
      <c r="I212" s="65" t="s">
        <v>13</v>
      </c>
    </row>
    <row r="213" spans="2:9" ht="13.2">
      <c r="B213" s="368" t="s">
        <v>321</v>
      </c>
      <c r="C213" s="98"/>
      <c r="D213" s="98"/>
      <c r="E213" s="149" t="s">
        <v>74</v>
      </c>
      <c r="F213" s="136" t="s">
        <v>3</v>
      </c>
      <c r="G213" s="68">
        <v>2</v>
      </c>
      <c r="H213" s="69">
        <v>0</v>
      </c>
      <c r="I213" s="70">
        <f t="shared" ref="I213:I214" si="33">ROUND($G213*H213,2)</f>
        <v>0</v>
      </c>
    </row>
    <row r="214" spans="2:9" ht="22.8">
      <c r="B214" s="368" t="s">
        <v>322</v>
      </c>
      <c r="C214" s="101"/>
      <c r="D214" s="101"/>
      <c r="E214" s="150" t="s">
        <v>128</v>
      </c>
      <c r="F214" s="151" t="s">
        <v>3</v>
      </c>
      <c r="G214" s="68">
        <v>20</v>
      </c>
      <c r="H214" s="69">
        <v>0</v>
      </c>
      <c r="I214" s="70">
        <f t="shared" si="33"/>
        <v>0</v>
      </c>
    </row>
    <row r="215" spans="2:9" ht="13.2">
      <c r="B215" s="367" t="s">
        <v>323</v>
      </c>
      <c r="C215" s="60" t="s">
        <v>198</v>
      </c>
      <c r="D215" s="60"/>
      <c r="E215" s="152" t="s">
        <v>75</v>
      </c>
      <c r="F215" s="153" t="s">
        <v>13</v>
      </c>
      <c r="G215" s="153" t="s">
        <v>13</v>
      </c>
      <c r="H215" s="69" t="str">
        <f>'[1]PR_02 most w km163+652'!$K145</f>
        <v>x</v>
      </c>
      <c r="I215" s="65" t="s">
        <v>13</v>
      </c>
    </row>
    <row r="216" spans="2:9" ht="13.2">
      <c r="B216" s="368" t="s">
        <v>324</v>
      </c>
      <c r="C216" s="83"/>
      <c r="D216" s="66"/>
      <c r="E216" s="141" t="s">
        <v>164</v>
      </c>
      <c r="F216" s="137" t="s">
        <v>16</v>
      </c>
      <c r="G216" s="68">
        <v>90</v>
      </c>
      <c r="H216" s="69">
        <v>0</v>
      </c>
      <c r="I216" s="70">
        <f>ROUND($G216*H216,2)</f>
        <v>0</v>
      </c>
    </row>
    <row r="217" spans="2:9" ht="13.2">
      <c r="B217" s="367" t="s">
        <v>325</v>
      </c>
      <c r="C217" s="60" t="s">
        <v>415</v>
      </c>
      <c r="D217" s="60"/>
      <c r="E217" s="177" t="s">
        <v>416</v>
      </c>
      <c r="F217" s="153" t="s">
        <v>13</v>
      </c>
      <c r="G217" s="153" t="s">
        <v>13</v>
      </c>
      <c r="H217" s="69" t="str">
        <f>'[1]PR_02 most w km163+652'!$K147</f>
        <v>x</v>
      </c>
      <c r="I217" s="65" t="s">
        <v>13</v>
      </c>
    </row>
    <row r="218" spans="2:9" ht="13.2">
      <c r="B218" s="368" t="s">
        <v>326</v>
      </c>
      <c r="C218" s="66"/>
      <c r="D218" s="66"/>
      <c r="E218" s="178" t="s">
        <v>417</v>
      </c>
      <c r="F218" s="146" t="s">
        <v>17</v>
      </c>
      <c r="G218" s="68">
        <v>135</v>
      </c>
      <c r="H218" s="69">
        <v>0</v>
      </c>
      <c r="I218" s="70">
        <f t="shared" ref="I218:I219" si="34">ROUND($G218*H218,2)</f>
        <v>0</v>
      </c>
    </row>
    <row r="219" spans="2:9" ht="13.2">
      <c r="B219" s="368" t="s">
        <v>327</v>
      </c>
      <c r="C219" s="66"/>
      <c r="D219" s="66"/>
      <c r="E219" s="178" t="s">
        <v>418</v>
      </c>
      <c r="F219" s="146" t="s">
        <v>17</v>
      </c>
      <c r="G219" s="68">
        <v>225</v>
      </c>
      <c r="H219" s="69">
        <f>L219*$K$5</f>
        <v>0</v>
      </c>
      <c r="I219" s="70">
        <f t="shared" si="34"/>
        <v>0</v>
      </c>
    </row>
    <row r="220" spans="2:9" ht="22.8">
      <c r="B220" s="368" t="s">
        <v>419</v>
      </c>
      <c r="C220" s="66"/>
      <c r="D220" s="66"/>
      <c r="E220" s="178" t="s">
        <v>420</v>
      </c>
      <c r="F220" s="146" t="s">
        <v>17</v>
      </c>
      <c r="G220" s="68">
        <v>18</v>
      </c>
      <c r="H220" s="69">
        <v>0</v>
      </c>
      <c r="I220" s="70">
        <f>ROUND($G220*H220,2)</f>
        <v>0</v>
      </c>
    </row>
    <row r="221" spans="2:9" ht="13.2">
      <c r="B221" s="367" t="s">
        <v>361</v>
      </c>
      <c r="C221" s="60" t="s">
        <v>199</v>
      </c>
      <c r="D221" s="60"/>
      <c r="E221" s="152" t="s">
        <v>110</v>
      </c>
      <c r="F221" s="151" t="s">
        <v>13</v>
      </c>
      <c r="G221" s="154" t="s">
        <v>13</v>
      </c>
      <c r="H221" s="69" t="str">
        <f>'[1]PR_02 most w km163+652'!$K151</f>
        <v>x</v>
      </c>
      <c r="I221" s="65" t="s">
        <v>13</v>
      </c>
    </row>
    <row r="222" spans="2:9" ht="22.8">
      <c r="B222" s="370" t="s">
        <v>328</v>
      </c>
      <c r="C222" s="66"/>
      <c r="D222" s="82"/>
      <c r="E222" s="155" t="s">
        <v>126</v>
      </c>
      <c r="F222" s="81" t="s">
        <v>16</v>
      </c>
      <c r="G222" s="68">
        <v>221</v>
      </c>
      <c r="H222" s="69">
        <v>0</v>
      </c>
      <c r="I222" s="70">
        <f t="shared" ref="I222" si="35">ROUND($G222*H222,2)</f>
        <v>0</v>
      </c>
    </row>
    <row r="223" spans="2:9" ht="13.2">
      <c r="B223" s="369"/>
      <c r="C223" s="12"/>
      <c r="D223" s="25"/>
      <c r="E223" s="14" t="s">
        <v>77</v>
      </c>
      <c r="F223" s="13"/>
      <c r="G223" s="96"/>
      <c r="H223" s="179"/>
      <c r="I223" s="24" t="s">
        <v>13</v>
      </c>
    </row>
    <row r="224" spans="2:9" ht="13.8">
      <c r="B224" s="367"/>
      <c r="C224" s="562" t="s">
        <v>421</v>
      </c>
      <c r="D224" s="562"/>
      <c r="E224" s="562"/>
      <c r="F224" s="7"/>
      <c r="G224" s="161"/>
      <c r="H224" s="33"/>
      <c r="I224" s="180">
        <f>SUM(I117:I222)</f>
        <v>0</v>
      </c>
    </row>
    <row r="225" spans="2:9" ht="26.4">
      <c r="B225" s="205" t="s">
        <v>334</v>
      </c>
      <c r="C225" s="558" t="s">
        <v>422</v>
      </c>
      <c r="D225" s="559"/>
      <c r="E225" s="560"/>
      <c r="F225" s="560"/>
      <c r="G225" s="560"/>
      <c r="H225" s="560"/>
      <c r="I225" s="561"/>
    </row>
    <row r="226" spans="2:9" ht="24">
      <c r="B226" s="371" t="s">
        <v>0</v>
      </c>
      <c r="C226" s="404" t="s">
        <v>210</v>
      </c>
      <c r="D226" s="404" t="s">
        <v>333</v>
      </c>
      <c r="E226" s="405" t="s">
        <v>203</v>
      </c>
      <c r="F226" s="405" t="s">
        <v>204</v>
      </c>
      <c r="G226" s="405" t="s">
        <v>1</v>
      </c>
      <c r="H226" s="41" t="s">
        <v>111</v>
      </c>
      <c r="I226" s="406" t="s">
        <v>112</v>
      </c>
    </row>
    <row r="227" spans="2:9" ht="22.8">
      <c r="B227" s="368" t="s">
        <v>249</v>
      </c>
      <c r="C227" s="66"/>
      <c r="D227" s="66"/>
      <c r="E227" s="67" t="s">
        <v>160</v>
      </c>
      <c r="F227" s="62" t="s">
        <v>17</v>
      </c>
      <c r="G227" s="68">
        <f>1.07*12.6*2</f>
        <v>26.96</v>
      </c>
      <c r="H227" s="69">
        <f>H118</f>
        <v>0</v>
      </c>
      <c r="I227" s="70">
        <f>ROUND($G227*H227,2)</f>
        <v>0</v>
      </c>
    </row>
    <row r="228" spans="2:9" ht="13.2">
      <c r="B228" s="367" t="s">
        <v>250</v>
      </c>
      <c r="C228" s="375" t="s">
        <v>172</v>
      </c>
      <c r="D228" s="374"/>
      <c r="E228" s="376" t="s">
        <v>20</v>
      </c>
      <c r="F228" s="377"/>
      <c r="G228" s="381"/>
      <c r="H228" s="397"/>
      <c r="I228" s="380"/>
    </row>
    <row r="229" spans="2:9" ht="24">
      <c r="B229" s="367"/>
      <c r="C229" s="71"/>
      <c r="D229" s="72"/>
      <c r="E229" s="73" t="s">
        <v>241</v>
      </c>
      <c r="F229" s="30"/>
      <c r="G229" s="31"/>
      <c r="H229" s="163"/>
      <c r="I229" s="32"/>
    </row>
    <row r="230" spans="2:9" ht="13.2">
      <c r="B230" s="367" t="s">
        <v>251</v>
      </c>
      <c r="C230" s="74" t="s">
        <v>173</v>
      </c>
      <c r="D230" s="75"/>
      <c r="E230" s="76" t="s">
        <v>115</v>
      </c>
      <c r="F230" s="62" t="s">
        <v>13</v>
      </c>
      <c r="G230" s="63" t="s">
        <v>13</v>
      </c>
      <c r="H230" s="64"/>
      <c r="I230" s="65" t="s">
        <v>13</v>
      </c>
    </row>
    <row r="231" spans="2:9" ht="13.2">
      <c r="B231" s="369"/>
      <c r="C231" s="77"/>
      <c r="D231" s="78"/>
      <c r="E231" s="79" t="s">
        <v>117</v>
      </c>
      <c r="F231" s="62" t="s">
        <v>13</v>
      </c>
      <c r="G231" s="63" t="s">
        <v>13</v>
      </c>
      <c r="H231" s="64"/>
      <c r="I231" s="65" t="s">
        <v>13</v>
      </c>
    </row>
    <row r="232" spans="2:9" ht="13.2">
      <c r="B232" s="368" t="s">
        <v>252</v>
      </c>
      <c r="C232" s="77"/>
      <c r="D232" s="78"/>
      <c r="E232" s="80" t="s">
        <v>134</v>
      </c>
      <c r="F232" s="81" t="s">
        <v>23</v>
      </c>
      <c r="G232" s="68">
        <f>26838+37949+823*4</f>
        <v>68079</v>
      </c>
      <c r="H232" s="69">
        <f>L232*$K$5</f>
        <v>0</v>
      </c>
      <c r="I232" s="70">
        <f>ROUND($G232*H232,2)</f>
        <v>0</v>
      </c>
    </row>
    <row r="233" spans="2:9" ht="13.2">
      <c r="B233" s="368" t="s">
        <v>253</v>
      </c>
      <c r="C233" s="66"/>
      <c r="D233" s="82"/>
      <c r="E233" s="80" t="s">
        <v>163</v>
      </c>
      <c r="F233" s="81" t="s">
        <v>23</v>
      </c>
      <c r="G233" s="68">
        <f>184+209+128+184</f>
        <v>705</v>
      </c>
      <c r="H233" s="69">
        <f t="shared" ref="H233:H235" si="36">L233*$K$5</f>
        <v>0</v>
      </c>
      <c r="I233" s="70">
        <f>ROUND($G233*H233,2)</f>
        <v>0</v>
      </c>
    </row>
    <row r="234" spans="2:9" ht="13.2">
      <c r="B234" s="368" t="s">
        <v>254</v>
      </c>
      <c r="C234" s="66"/>
      <c r="D234" s="82"/>
      <c r="E234" s="80" t="s">
        <v>118</v>
      </c>
      <c r="F234" s="81" t="s">
        <v>23</v>
      </c>
      <c r="G234" s="68">
        <v>1448</v>
      </c>
      <c r="H234" s="69">
        <f t="shared" si="36"/>
        <v>0</v>
      </c>
      <c r="I234" s="70">
        <f>ROUND($G234*H234,2)</f>
        <v>0</v>
      </c>
    </row>
    <row r="235" spans="2:9" ht="13.2">
      <c r="B235" s="368" t="s">
        <v>255</v>
      </c>
      <c r="C235" s="83"/>
      <c r="D235" s="84"/>
      <c r="E235" s="80" t="s">
        <v>205</v>
      </c>
      <c r="F235" s="81" t="s">
        <v>3</v>
      </c>
      <c r="G235" s="68">
        <f>2*12</f>
        <v>24</v>
      </c>
      <c r="H235" s="69">
        <f t="shared" si="36"/>
        <v>0</v>
      </c>
      <c r="I235" s="70">
        <f>ROUND($G235*H235,2)</f>
        <v>0</v>
      </c>
    </row>
    <row r="236" spans="2:9" ht="13.2">
      <c r="B236" s="369"/>
      <c r="C236" s="83"/>
      <c r="D236" s="84"/>
      <c r="E236" s="87" t="s">
        <v>26</v>
      </c>
      <c r="F236" s="81" t="s">
        <v>153</v>
      </c>
      <c r="G236" s="37"/>
      <c r="H236" s="181"/>
      <c r="I236" s="182" t="s">
        <v>13</v>
      </c>
    </row>
    <row r="237" spans="2:9" ht="13.2">
      <c r="B237" s="367" t="s">
        <v>256</v>
      </c>
      <c r="C237" s="375" t="s">
        <v>174</v>
      </c>
      <c r="D237" s="374"/>
      <c r="E237" s="376" t="s">
        <v>27</v>
      </c>
      <c r="F237" s="377"/>
      <c r="G237" s="381"/>
      <c r="H237" s="397"/>
      <c r="I237" s="380"/>
    </row>
    <row r="238" spans="2:9" ht="24">
      <c r="B238" s="367"/>
      <c r="C238" s="71"/>
      <c r="D238" s="72"/>
      <c r="E238" s="73" t="s">
        <v>241</v>
      </c>
      <c r="F238" s="30"/>
      <c r="G238" s="31"/>
      <c r="H238" s="163"/>
      <c r="I238" s="32"/>
    </row>
    <row r="239" spans="2:9" ht="13.2">
      <c r="B239" s="367" t="s">
        <v>257</v>
      </c>
      <c r="C239" s="74" t="s">
        <v>175</v>
      </c>
      <c r="D239" s="75"/>
      <c r="E239" s="76" t="s">
        <v>29</v>
      </c>
      <c r="F239" s="62" t="s">
        <v>13</v>
      </c>
      <c r="G239" s="62" t="s">
        <v>13</v>
      </c>
      <c r="H239" s="64"/>
      <c r="I239" s="65" t="s">
        <v>13</v>
      </c>
    </row>
    <row r="240" spans="2:9" ht="22.8">
      <c r="B240" s="368" t="s">
        <v>258</v>
      </c>
      <c r="C240" s="88"/>
      <c r="D240" s="89"/>
      <c r="E240" s="76" t="s">
        <v>135</v>
      </c>
      <c r="F240" s="62" t="s">
        <v>17</v>
      </c>
      <c r="G240" s="68">
        <f>101.6</f>
        <v>101.6</v>
      </c>
      <c r="H240" s="69">
        <f>L240*$K$5</f>
        <v>0</v>
      </c>
      <c r="I240" s="70">
        <f>ROUND($G240*H240,2)</f>
        <v>0</v>
      </c>
    </row>
    <row r="241" spans="2:9" ht="13.2">
      <c r="B241" s="367" t="s">
        <v>259</v>
      </c>
      <c r="C241" s="66" t="s">
        <v>176</v>
      </c>
      <c r="D241" s="66"/>
      <c r="E241" s="90" t="s">
        <v>31</v>
      </c>
      <c r="F241" s="81" t="s">
        <v>13</v>
      </c>
      <c r="G241" s="81" t="s">
        <v>13</v>
      </c>
      <c r="H241" s="69" t="str">
        <f>H19</f>
        <v>x</v>
      </c>
      <c r="I241" s="65" t="s">
        <v>13</v>
      </c>
    </row>
    <row r="242" spans="2:9" ht="13.2">
      <c r="B242" s="368" t="s">
        <v>260</v>
      </c>
      <c r="C242" s="66"/>
      <c r="D242" s="66"/>
      <c r="E242" s="67" t="s">
        <v>423</v>
      </c>
      <c r="F242" s="62" t="s">
        <v>17</v>
      </c>
      <c r="G242" s="68">
        <f>3.1+3.4+1.9+3.1</f>
        <v>11.5</v>
      </c>
      <c r="H242" s="69">
        <f>L242*$K$5</f>
        <v>0</v>
      </c>
      <c r="I242" s="70">
        <f>ROUND($G242*H242,2)</f>
        <v>0</v>
      </c>
    </row>
    <row r="243" spans="2:9" ht="13.2">
      <c r="B243" s="367" t="s">
        <v>261</v>
      </c>
      <c r="C243" s="66" t="s">
        <v>177</v>
      </c>
      <c r="D243" s="66"/>
      <c r="E243" s="90" t="s">
        <v>129</v>
      </c>
      <c r="F243" s="81" t="s">
        <v>13</v>
      </c>
      <c r="G243" s="81" t="s">
        <v>13</v>
      </c>
      <c r="H243" s="69" t="s">
        <v>13</v>
      </c>
      <c r="I243" s="49" t="s">
        <v>13</v>
      </c>
    </row>
    <row r="244" spans="2:9" ht="22.8">
      <c r="B244" s="368" t="s">
        <v>262</v>
      </c>
      <c r="C244" s="66"/>
      <c r="D244" s="66"/>
      <c r="E244" s="67" t="s">
        <v>136</v>
      </c>
      <c r="F244" s="62" t="s">
        <v>17</v>
      </c>
      <c r="G244" s="68">
        <v>96</v>
      </c>
      <c r="H244" s="69">
        <f>L244*$K$5</f>
        <v>0</v>
      </c>
      <c r="I244" s="70">
        <f>ROUND($G244*H244,2)</f>
        <v>0</v>
      </c>
    </row>
    <row r="245" spans="2:9" ht="13.2">
      <c r="B245" s="367" t="s">
        <v>263</v>
      </c>
      <c r="C245" s="74" t="s">
        <v>178</v>
      </c>
      <c r="D245" s="74"/>
      <c r="E245" s="90" t="s">
        <v>34</v>
      </c>
      <c r="F245" s="62" t="s">
        <v>13</v>
      </c>
      <c r="G245" s="62" t="s">
        <v>13</v>
      </c>
      <c r="H245" s="69" t="str">
        <f>H23</f>
        <v>x</v>
      </c>
      <c r="I245" s="65" t="s">
        <v>13</v>
      </c>
    </row>
    <row r="246" spans="2:9" ht="22.8">
      <c r="B246" s="368" t="s">
        <v>264</v>
      </c>
      <c r="C246" s="91"/>
      <c r="D246" s="91"/>
      <c r="E246" s="92" t="s">
        <v>146</v>
      </c>
      <c r="F246" s="62" t="s">
        <v>17</v>
      </c>
      <c r="G246" s="68">
        <v>7.5</v>
      </c>
      <c r="H246" s="69">
        <f>L246*$K$5</f>
        <v>0</v>
      </c>
      <c r="I246" s="70">
        <f>ROUND($G246*H246,2)</f>
        <v>0</v>
      </c>
    </row>
    <row r="247" spans="2:9" ht="13.2">
      <c r="B247" s="367" t="s">
        <v>265</v>
      </c>
      <c r="C247" s="60" t="s">
        <v>179</v>
      </c>
      <c r="D247" s="60"/>
      <c r="E247" s="90" t="s">
        <v>130</v>
      </c>
      <c r="F247" s="62" t="s">
        <v>13</v>
      </c>
      <c r="G247" s="62" t="s">
        <v>13</v>
      </c>
      <c r="H247" s="69" t="str">
        <f>H25</f>
        <v>x</v>
      </c>
      <c r="I247" s="65" t="s">
        <v>13</v>
      </c>
    </row>
    <row r="248" spans="2:9" ht="22.8">
      <c r="B248" s="368" t="s">
        <v>266</v>
      </c>
      <c r="C248" s="66"/>
      <c r="D248" s="66"/>
      <c r="E248" s="90" t="s">
        <v>137</v>
      </c>
      <c r="F248" s="62" t="s">
        <v>17</v>
      </c>
      <c r="G248" s="93">
        <v>105</v>
      </c>
      <c r="H248" s="69">
        <f>L248*$K$5</f>
        <v>0</v>
      </c>
      <c r="I248" s="70">
        <f>ROUND($G248*H248,2)</f>
        <v>0</v>
      </c>
    </row>
    <row r="249" spans="2:9" ht="13.2">
      <c r="B249" s="367" t="s">
        <v>267</v>
      </c>
      <c r="C249" s="60" t="s">
        <v>180</v>
      </c>
      <c r="D249" s="60"/>
      <c r="E249" s="90" t="s">
        <v>119</v>
      </c>
      <c r="F249" s="81" t="s">
        <v>13</v>
      </c>
      <c r="G249" s="81" t="s">
        <v>13</v>
      </c>
      <c r="H249" s="69" t="str">
        <f>H27</f>
        <v>x</v>
      </c>
      <c r="I249" s="65" t="s">
        <v>13</v>
      </c>
    </row>
    <row r="250" spans="2:9" ht="22.8">
      <c r="B250" s="368" t="s">
        <v>268</v>
      </c>
      <c r="C250" s="83"/>
      <c r="D250" s="83"/>
      <c r="E250" s="92" t="s">
        <v>138</v>
      </c>
      <c r="F250" s="94" t="s">
        <v>363</v>
      </c>
      <c r="G250" s="68">
        <f>13.4</f>
        <v>13.4</v>
      </c>
      <c r="H250" s="69">
        <f>H28</f>
        <v>0</v>
      </c>
      <c r="I250" s="70">
        <f>ROUND($G250*H250,2)</f>
        <v>0</v>
      </c>
    </row>
    <row r="251" spans="2:9" ht="13.2">
      <c r="B251" s="369"/>
      <c r="C251" s="62"/>
      <c r="D251" s="95"/>
      <c r="E251" s="87" t="s">
        <v>39</v>
      </c>
      <c r="F251" s="62" t="s">
        <v>153</v>
      </c>
      <c r="G251" s="96"/>
      <c r="H251" s="96"/>
      <c r="I251" s="182" t="s">
        <v>13</v>
      </c>
    </row>
    <row r="252" spans="2:9" ht="13.2">
      <c r="B252" s="367" t="s">
        <v>269</v>
      </c>
      <c r="C252" s="74" t="s">
        <v>181</v>
      </c>
      <c r="D252" s="75"/>
      <c r="E252" s="97" t="s">
        <v>139</v>
      </c>
      <c r="F252" s="62" t="s">
        <v>13</v>
      </c>
      <c r="G252" s="62" t="s">
        <v>13</v>
      </c>
      <c r="H252" s="62" t="s">
        <v>13</v>
      </c>
      <c r="I252" s="65" t="s">
        <v>13</v>
      </c>
    </row>
    <row r="253" spans="2:9" ht="22.8">
      <c r="B253" s="368" t="s">
        <v>270</v>
      </c>
      <c r="C253" s="98"/>
      <c r="D253" s="99"/>
      <c r="E253" s="100" t="s">
        <v>140</v>
      </c>
      <c r="F253" s="62" t="s">
        <v>17</v>
      </c>
      <c r="G253" s="68">
        <f>17.6</f>
        <v>17.600000000000001</v>
      </c>
      <c r="H253" s="69">
        <f>H31</f>
        <v>0</v>
      </c>
      <c r="I253" s="70">
        <f>ROUND($G253*H253,2)</f>
        <v>0</v>
      </c>
    </row>
    <row r="254" spans="2:9" ht="22.8">
      <c r="B254" s="368" t="s">
        <v>271</v>
      </c>
      <c r="C254" s="101"/>
      <c r="D254" s="102"/>
      <c r="E254" s="100" t="s">
        <v>141</v>
      </c>
      <c r="F254" s="62" t="s">
        <v>17</v>
      </c>
      <c r="G254" s="68">
        <f>0.08*(12.2+12.2)</f>
        <v>1.95</v>
      </c>
      <c r="H254" s="69">
        <f>H32</f>
        <v>0</v>
      </c>
      <c r="I254" s="70">
        <f>ROUND($G254*H254,2)</f>
        <v>0</v>
      </c>
    </row>
    <row r="255" spans="2:9" ht="13.2">
      <c r="B255" s="369"/>
      <c r="C255" s="103"/>
      <c r="D255" s="104"/>
      <c r="E255" s="87" t="s">
        <v>43</v>
      </c>
      <c r="F255" s="62" t="s">
        <v>153</v>
      </c>
      <c r="G255" s="39"/>
      <c r="H255" s="39"/>
      <c r="I255" s="182" t="s">
        <v>13</v>
      </c>
    </row>
    <row r="256" spans="2:9" ht="13.2">
      <c r="B256" s="367" t="s">
        <v>272</v>
      </c>
      <c r="C256" s="375" t="s">
        <v>200</v>
      </c>
      <c r="D256" s="374"/>
      <c r="E256" s="376" t="s">
        <v>44</v>
      </c>
      <c r="F256" s="377"/>
      <c r="G256" s="383"/>
      <c r="H256" s="383"/>
      <c r="I256" s="380"/>
    </row>
    <row r="257" spans="2:9" ht="24">
      <c r="B257" s="367"/>
      <c r="C257" s="71"/>
      <c r="D257" s="72"/>
      <c r="E257" s="73" t="s">
        <v>241</v>
      </c>
      <c r="F257" s="30"/>
      <c r="G257" s="105"/>
      <c r="H257" s="105"/>
      <c r="I257" s="32"/>
    </row>
    <row r="258" spans="2:9" ht="13.2">
      <c r="B258" s="367" t="s">
        <v>273</v>
      </c>
      <c r="C258" s="74" t="s">
        <v>167</v>
      </c>
      <c r="D258" s="74"/>
      <c r="E258" s="90" t="s">
        <v>132</v>
      </c>
      <c r="F258" s="62" t="s">
        <v>13</v>
      </c>
      <c r="G258" s="81" t="s">
        <v>13</v>
      </c>
      <c r="H258" s="81" t="s">
        <v>13</v>
      </c>
      <c r="I258" s="65" t="s">
        <v>13</v>
      </c>
    </row>
    <row r="259" spans="2:9" ht="22.8">
      <c r="B259" s="368" t="s">
        <v>330</v>
      </c>
      <c r="C259" s="106"/>
      <c r="D259" s="106"/>
      <c r="E259" s="67" t="s">
        <v>159</v>
      </c>
      <c r="F259" s="62" t="s">
        <v>23</v>
      </c>
      <c r="G259" s="68">
        <v>358</v>
      </c>
      <c r="H259" s="69">
        <f t="shared" ref="H259:H264" si="37">L259*$K$5</f>
        <v>0</v>
      </c>
      <c r="I259" s="70">
        <f t="shared" ref="I259:I264" si="38">ROUND($G259*H259,2)</f>
        <v>0</v>
      </c>
    </row>
    <row r="260" spans="2:9" ht="34.200000000000003">
      <c r="B260" s="368" t="s">
        <v>339</v>
      </c>
      <c r="C260" s="106"/>
      <c r="D260" s="106"/>
      <c r="E260" s="67" t="s">
        <v>358</v>
      </c>
      <c r="F260" s="62" t="s">
        <v>23</v>
      </c>
      <c r="G260" s="68">
        <v>640.20000000000005</v>
      </c>
      <c r="H260" s="69">
        <f t="shared" si="37"/>
        <v>0</v>
      </c>
      <c r="I260" s="70">
        <f t="shared" si="38"/>
        <v>0</v>
      </c>
    </row>
    <row r="261" spans="2:9" ht="22.8">
      <c r="B261" s="368" t="s">
        <v>341</v>
      </c>
      <c r="C261" s="106"/>
      <c r="D261" s="106" t="s">
        <v>120</v>
      </c>
      <c r="E261" s="67" t="s">
        <v>340</v>
      </c>
      <c r="F261" s="62" t="s">
        <v>4</v>
      </c>
      <c r="G261" s="68">
        <v>3.2</v>
      </c>
      <c r="H261" s="69">
        <f t="shared" si="37"/>
        <v>0</v>
      </c>
      <c r="I261" s="70">
        <f t="shared" si="38"/>
        <v>0</v>
      </c>
    </row>
    <row r="262" spans="2:9" ht="22.8">
      <c r="B262" s="368" t="s">
        <v>342</v>
      </c>
      <c r="C262" s="106"/>
      <c r="D262" s="106"/>
      <c r="E262" s="67" t="s">
        <v>375</v>
      </c>
      <c r="F262" s="62" t="s">
        <v>4</v>
      </c>
      <c r="G262" s="68">
        <v>1.6</v>
      </c>
      <c r="H262" s="69">
        <f t="shared" si="37"/>
        <v>0</v>
      </c>
      <c r="I262" s="70">
        <f t="shared" si="38"/>
        <v>0</v>
      </c>
    </row>
    <row r="263" spans="2:9" ht="34.200000000000003">
      <c r="B263" s="368" t="s">
        <v>424</v>
      </c>
      <c r="C263" s="106"/>
      <c r="D263" s="106"/>
      <c r="E263" s="67" t="s">
        <v>377</v>
      </c>
      <c r="F263" s="62" t="s">
        <v>4</v>
      </c>
      <c r="G263" s="68">
        <v>19.399999999999999</v>
      </c>
      <c r="H263" s="69">
        <f t="shared" si="37"/>
        <v>0</v>
      </c>
      <c r="I263" s="70">
        <f t="shared" si="38"/>
        <v>0</v>
      </c>
    </row>
    <row r="264" spans="2:9" ht="34.200000000000003">
      <c r="B264" s="368" t="s">
        <v>425</v>
      </c>
      <c r="C264" s="108"/>
      <c r="D264" s="101"/>
      <c r="E264" s="67" t="s">
        <v>379</v>
      </c>
      <c r="F264" s="62" t="s">
        <v>4</v>
      </c>
      <c r="G264" s="68">
        <v>9.6999999999999993</v>
      </c>
      <c r="H264" s="69">
        <f t="shared" si="37"/>
        <v>0</v>
      </c>
      <c r="I264" s="70">
        <f t="shared" si="38"/>
        <v>0</v>
      </c>
    </row>
    <row r="265" spans="2:9" ht="13.2">
      <c r="B265" s="368" t="s">
        <v>343</v>
      </c>
      <c r="C265" s="106" t="s">
        <v>354</v>
      </c>
      <c r="D265" s="106"/>
      <c r="E265" s="67" t="s">
        <v>356</v>
      </c>
      <c r="F265" s="62" t="s">
        <v>13</v>
      </c>
      <c r="G265" s="81" t="s">
        <v>13</v>
      </c>
      <c r="H265" s="64"/>
      <c r="I265" s="65" t="s">
        <v>13</v>
      </c>
    </row>
    <row r="266" spans="2:9" ht="13.2">
      <c r="B266" s="368" t="s">
        <v>274</v>
      </c>
      <c r="C266" s="108"/>
      <c r="D266" s="101"/>
      <c r="E266" s="67" t="s">
        <v>426</v>
      </c>
      <c r="F266" s="62" t="s">
        <v>344</v>
      </c>
      <c r="G266" s="68">
        <v>0.64</v>
      </c>
      <c r="H266" s="69">
        <v>0</v>
      </c>
      <c r="I266" s="70">
        <f>ROUND($G266*H266,2)</f>
        <v>0</v>
      </c>
    </row>
    <row r="267" spans="2:9" ht="22.8">
      <c r="B267" s="368" t="s">
        <v>346</v>
      </c>
      <c r="C267" s="106" t="s">
        <v>355</v>
      </c>
      <c r="D267" s="106"/>
      <c r="E267" s="67" t="s">
        <v>357</v>
      </c>
      <c r="F267" s="62" t="s">
        <v>13</v>
      </c>
      <c r="G267" s="81" t="s">
        <v>13</v>
      </c>
      <c r="H267" s="64"/>
      <c r="I267" s="65" t="s">
        <v>13</v>
      </c>
    </row>
    <row r="268" spans="2:9" ht="22.8">
      <c r="B268" s="368" t="s">
        <v>347</v>
      </c>
      <c r="C268" s="108"/>
      <c r="D268" s="101"/>
      <c r="E268" s="67" t="s">
        <v>154</v>
      </c>
      <c r="F268" s="62" t="s">
        <v>348</v>
      </c>
      <c r="G268" s="68">
        <v>84</v>
      </c>
      <c r="H268" s="69">
        <v>0</v>
      </c>
      <c r="I268" s="70">
        <f>ROUND($G268*H268,2)</f>
        <v>0</v>
      </c>
    </row>
    <row r="269" spans="2:9" ht="13.2">
      <c r="B269" s="368" t="s">
        <v>349</v>
      </c>
      <c r="C269" s="106" t="s">
        <v>427</v>
      </c>
      <c r="D269" s="106"/>
      <c r="E269" s="67" t="s">
        <v>350</v>
      </c>
      <c r="F269" s="62" t="s">
        <v>13</v>
      </c>
      <c r="G269" s="81" t="s">
        <v>13</v>
      </c>
      <c r="H269" s="64"/>
      <c r="I269" s="65" t="s">
        <v>13</v>
      </c>
    </row>
    <row r="270" spans="2:9" ht="22.8">
      <c r="B270" s="368" t="s">
        <v>351</v>
      </c>
      <c r="C270" s="106"/>
      <c r="D270" s="106"/>
      <c r="E270" s="67" t="s">
        <v>352</v>
      </c>
      <c r="F270" s="62" t="s">
        <v>344</v>
      </c>
      <c r="G270" s="68">
        <v>0.64</v>
      </c>
      <c r="H270" s="69">
        <f>L270*$K$5</f>
        <v>0</v>
      </c>
      <c r="I270" s="70">
        <f>ROUND($G270*H270,2)</f>
        <v>0</v>
      </c>
    </row>
    <row r="271" spans="2:9" ht="13.2">
      <c r="B271" s="369"/>
      <c r="C271" s="12"/>
      <c r="D271" s="25"/>
      <c r="E271" s="87" t="s">
        <v>46</v>
      </c>
      <c r="F271" s="13" t="s">
        <v>153</v>
      </c>
      <c r="G271" s="96"/>
      <c r="H271" s="81" t="s">
        <v>13</v>
      </c>
      <c r="I271" s="182" t="s">
        <v>13</v>
      </c>
    </row>
    <row r="272" spans="2:9" ht="13.2">
      <c r="B272" s="367" t="s">
        <v>275</v>
      </c>
      <c r="C272" s="375" t="s">
        <v>201</v>
      </c>
      <c r="D272" s="374"/>
      <c r="E272" s="407" t="s">
        <v>380</v>
      </c>
      <c r="F272" s="377"/>
      <c r="G272" s="381"/>
      <c r="H272" s="408" t="s">
        <v>13</v>
      </c>
      <c r="I272" s="380"/>
    </row>
    <row r="273" spans="2:9" ht="24">
      <c r="B273" s="367"/>
      <c r="C273" s="71"/>
      <c r="D273" s="72"/>
      <c r="E273" s="73" t="s">
        <v>241</v>
      </c>
      <c r="F273" s="30"/>
      <c r="G273" s="31"/>
      <c r="H273" s="81" t="s">
        <v>13</v>
      </c>
      <c r="I273" s="32"/>
    </row>
    <row r="274" spans="2:9" ht="13.2">
      <c r="B274" s="367" t="s">
        <v>276</v>
      </c>
      <c r="C274" s="60" t="s">
        <v>182</v>
      </c>
      <c r="D274" s="60"/>
      <c r="E274" s="90" t="s">
        <v>49</v>
      </c>
      <c r="F274" s="62" t="s">
        <v>13</v>
      </c>
      <c r="G274" s="62" t="s">
        <v>13</v>
      </c>
      <c r="H274" s="81" t="s">
        <v>13</v>
      </c>
      <c r="I274" s="65" t="s">
        <v>13</v>
      </c>
    </row>
    <row r="275" spans="2:9" ht="34.200000000000003">
      <c r="B275" s="368" t="s">
        <v>277</v>
      </c>
      <c r="C275" s="66"/>
      <c r="D275" s="66"/>
      <c r="E275" s="110" t="s">
        <v>207</v>
      </c>
      <c r="F275" s="62" t="s">
        <v>15</v>
      </c>
      <c r="G275" s="68">
        <v>475</v>
      </c>
      <c r="H275" s="69">
        <f t="shared" ref="H275:H333" si="39">L275*$K$5</f>
        <v>0</v>
      </c>
      <c r="I275" s="70">
        <f>ROUND($G275*H275,2)</f>
        <v>0</v>
      </c>
    </row>
    <row r="276" spans="2:9" ht="45.6">
      <c r="B276" s="368" t="s">
        <v>278</v>
      </c>
      <c r="C276" s="83"/>
      <c r="D276" s="83"/>
      <c r="E276" s="92" t="s">
        <v>149</v>
      </c>
      <c r="F276" s="62" t="s">
        <v>15</v>
      </c>
      <c r="G276" s="68">
        <v>15</v>
      </c>
      <c r="H276" s="69">
        <f t="shared" si="39"/>
        <v>0</v>
      </c>
      <c r="I276" s="70">
        <f>ROUND($G276*H276,2)</f>
        <v>0</v>
      </c>
    </row>
    <row r="277" spans="2:9" ht="13.2">
      <c r="B277" s="367" t="s">
        <v>279</v>
      </c>
      <c r="C277" s="74" t="s">
        <v>168</v>
      </c>
      <c r="D277" s="74"/>
      <c r="E277" s="90" t="s">
        <v>155</v>
      </c>
      <c r="F277" s="81" t="s">
        <v>13</v>
      </c>
      <c r="G277" s="81" t="s">
        <v>13</v>
      </c>
      <c r="H277" s="81" t="s">
        <v>13</v>
      </c>
      <c r="I277" s="65" t="s">
        <v>13</v>
      </c>
    </row>
    <row r="278" spans="2:9" ht="22.8">
      <c r="B278" s="368" t="s">
        <v>280</v>
      </c>
      <c r="C278" s="103"/>
      <c r="D278" s="103"/>
      <c r="E278" s="110" t="s">
        <v>209</v>
      </c>
      <c r="F278" s="62" t="s">
        <v>15</v>
      </c>
      <c r="G278" s="68">
        <f>(5.9+0.5)*13.5*2</f>
        <v>172.8</v>
      </c>
      <c r="H278" s="69">
        <f t="shared" si="39"/>
        <v>0</v>
      </c>
      <c r="I278" s="70">
        <f>ROUND($G278*H278,2)</f>
        <v>0</v>
      </c>
    </row>
    <row r="279" spans="2:9" ht="13.2">
      <c r="B279" s="368" t="s">
        <v>281</v>
      </c>
      <c r="C279" s="101"/>
      <c r="D279" s="101"/>
      <c r="E279" s="90" t="s">
        <v>150</v>
      </c>
      <c r="F279" s="62" t="s">
        <v>15</v>
      </c>
      <c r="G279" s="68">
        <v>6</v>
      </c>
      <c r="H279" s="69">
        <f t="shared" si="39"/>
        <v>0</v>
      </c>
      <c r="I279" s="70">
        <f>ROUND($G279*H279,2)</f>
        <v>0</v>
      </c>
    </row>
    <row r="280" spans="2:9" ht="13.2">
      <c r="B280" s="367" t="s">
        <v>282</v>
      </c>
      <c r="C280" s="74" t="s">
        <v>183</v>
      </c>
      <c r="D280" s="74"/>
      <c r="E280" s="90" t="s">
        <v>54</v>
      </c>
      <c r="F280" s="81" t="s">
        <v>13</v>
      </c>
      <c r="G280" s="81" t="s">
        <v>13</v>
      </c>
      <c r="H280" s="81" t="s">
        <v>13</v>
      </c>
      <c r="I280" s="65" t="s">
        <v>13</v>
      </c>
    </row>
    <row r="281" spans="2:9" ht="22.8">
      <c r="B281" s="368" t="s">
        <v>283</v>
      </c>
      <c r="C281" s="98"/>
      <c r="D281" s="98"/>
      <c r="E281" s="92" t="s">
        <v>156</v>
      </c>
      <c r="F281" s="62" t="s">
        <v>15</v>
      </c>
      <c r="G281" s="68">
        <f>1.15*11.3*2</f>
        <v>25.99</v>
      </c>
      <c r="H281" s="69">
        <f t="shared" si="39"/>
        <v>0</v>
      </c>
      <c r="I281" s="70">
        <f>ROUND($G281*H281,2)</f>
        <v>0</v>
      </c>
    </row>
    <row r="282" spans="2:9" ht="13.2">
      <c r="B282" s="367" t="s">
        <v>284</v>
      </c>
      <c r="C282" s="74" t="s">
        <v>184</v>
      </c>
      <c r="D282" s="74"/>
      <c r="E282" s="90" t="s">
        <v>121</v>
      </c>
      <c r="F282" s="81" t="s">
        <v>13</v>
      </c>
      <c r="G282" s="81" t="s">
        <v>13</v>
      </c>
      <c r="H282" s="81" t="s">
        <v>13</v>
      </c>
      <c r="I282" s="49" t="s">
        <v>13</v>
      </c>
    </row>
    <row r="283" spans="2:9" ht="22.8">
      <c r="B283" s="368" t="s">
        <v>285</v>
      </c>
      <c r="C283" s="98"/>
      <c r="D283" s="98"/>
      <c r="E283" s="111" t="s">
        <v>122</v>
      </c>
      <c r="F283" s="83" t="s">
        <v>15</v>
      </c>
      <c r="G283" s="68">
        <f>(11.3+0.2)*11.52</f>
        <v>132.47999999999999</v>
      </c>
      <c r="H283" s="69">
        <f t="shared" si="39"/>
        <v>0</v>
      </c>
      <c r="I283" s="70">
        <f>ROUND($G283*H283,2)</f>
        <v>0</v>
      </c>
    </row>
    <row r="284" spans="2:9" ht="13.2">
      <c r="B284" s="367" t="s">
        <v>286</v>
      </c>
      <c r="C284" s="74" t="s">
        <v>185</v>
      </c>
      <c r="D284" s="74"/>
      <c r="E284" s="90" t="s">
        <v>151</v>
      </c>
      <c r="F284" s="81" t="s">
        <v>13</v>
      </c>
      <c r="G284" s="81" t="s">
        <v>13</v>
      </c>
      <c r="H284" s="81" t="s">
        <v>13</v>
      </c>
      <c r="I284" s="65" t="s">
        <v>13</v>
      </c>
    </row>
    <row r="285" spans="2:9" ht="22.8">
      <c r="B285" s="368" t="s">
        <v>287</v>
      </c>
      <c r="C285" s="98"/>
      <c r="D285" s="98"/>
      <c r="E285" s="90" t="s">
        <v>152</v>
      </c>
      <c r="F285" s="83" t="s">
        <v>15</v>
      </c>
      <c r="G285" s="68">
        <f>(5.5+7.9+9.1+7.9)*1*1.4</f>
        <v>42.56</v>
      </c>
      <c r="H285" s="69">
        <f t="shared" si="39"/>
        <v>0</v>
      </c>
      <c r="I285" s="70">
        <f>ROUND($G285*H285,2)</f>
        <v>0</v>
      </c>
    </row>
    <row r="286" spans="2:9" ht="13.2">
      <c r="B286" s="369"/>
      <c r="C286" s="12"/>
      <c r="D286" s="25"/>
      <c r="E286" s="87" t="s">
        <v>58</v>
      </c>
      <c r="F286" s="13" t="s">
        <v>153</v>
      </c>
      <c r="G286" s="96"/>
      <c r="H286" s="81" t="s">
        <v>13</v>
      </c>
      <c r="I286" s="182" t="s">
        <v>13</v>
      </c>
    </row>
    <row r="287" spans="2:9" ht="13.2">
      <c r="B287" s="367" t="s">
        <v>288</v>
      </c>
      <c r="C287" s="385" t="s">
        <v>186</v>
      </c>
      <c r="D287" s="386"/>
      <c r="E287" s="387" t="s">
        <v>81</v>
      </c>
      <c r="F287" s="388"/>
      <c r="G287" s="381"/>
      <c r="H287" s="408" t="s">
        <v>13</v>
      </c>
      <c r="I287" s="380"/>
    </row>
    <row r="288" spans="2:9" ht="24">
      <c r="B288" s="367"/>
      <c r="C288" s="71"/>
      <c r="D288" s="72"/>
      <c r="E288" s="73" t="s">
        <v>241</v>
      </c>
      <c r="F288" s="30"/>
      <c r="G288" s="112"/>
      <c r="H288" s="81" t="s">
        <v>13</v>
      </c>
      <c r="I288" s="113"/>
    </row>
    <row r="289" spans="2:9" ht="13.2">
      <c r="B289" s="367" t="s">
        <v>289</v>
      </c>
      <c r="C289" s="74" t="s">
        <v>187</v>
      </c>
      <c r="D289" s="74"/>
      <c r="E289" s="61" t="s">
        <v>360</v>
      </c>
      <c r="F289" s="62" t="s">
        <v>13</v>
      </c>
      <c r="G289" s="114" t="s">
        <v>13</v>
      </c>
      <c r="H289" s="81" t="s">
        <v>13</v>
      </c>
      <c r="I289" s="65" t="s">
        <v>13</v>
      </c>
    </row>
    <row r="290" spans="2:9" ht="22.8">
      <c r="B290" s="368" t="s">
        <v>290</v>
      </c>
      <c r="C290" s="115"/>
      <c r="D290" s="115"/>
      <c r="E290" s="67" t="s">
        <v>84</v>
      </c>
      <c r="F290" s="62" t="s">
        <v>4</v>
      </c>
      <c r="G290" s="68">
        <f>7.5+1.75+7.2+1.55</f>
        <v>18</v>
      </c>
      <c r="H290" s="69">
        <f t="shared" si="39"/>
        <v>0</v>
      </c>
      <c r="I290" s="70">
        <f t="shared" ref="I290:I291" si="40">ROUND($G290*H290,2)</f>
        <v>0</v>
      </c>
    </row>
    <row r="291" spans="2:9" ht="22.8">
      <c r="B291" s="368" t="s">
        <v>291</v>
      </c>
      <c r="C291" s="115"/>
      <c r="D291" s="115"/>
      <c r="E291" s="116" t="s">
        <v>157</v>
      </c>
      <c r="F291" s="62" t="s">
        <v>3</v>
      </c>
      <c r="G291" s="117">
        <f>1+1+1+1</f>
        <v>4</v>
      </c>
      <c r="H291" s="69">
        <f t="shared" si="39"/>
        <v>0</v>
      </c>
      <c r="I291" s="70">
        <f t="shared" si="40"/>
        <v>0</v>
      </c>
    </row>
    <row r="292" spans="2:9" ht="13.2">
      <c r="B292" s="369"/>
      <c r="C292" s="73"/>
      <c r="D292" s="118"/>
      <c r="E292" s="112" t="s">
        <v>85</v>
      </c>
      <c r="F292" s="13" t="s">
        <v>153</v>
      </c>
      <c r="G292" s="119"/>
      <c r="H292" s="81" t="s">
        <v>13</v>
      </c>
      <c r="I292" s="182" t="s">
        <v>13</v>
      </c>
    </row>
    <row r="293" spans="2:9" ht="13.2">
      <c r="B293" s="367" t="s">
        <v>292</v>
      </c>
      <c r="C293" s="375" t="s">
        <v>188</v>
      </c>
      <c r="D293" s="374"/>
      <c r="E293" s="376" t="s">
        <v>59</v>
      </c>
      <c r="F293" s="377"/>
      <c r="G293" s="381"/>
      <c r="H293" s="408" t="s">
        <v>13</v>
      </c>
      <c r="I293" s="380"/>
    </row>
    <row r="294" spans="2:9" ht="24">
      <c r="B294" s="367"/>
      <c r="C294" s="71"/>
      <c r="D294" s="72"/>
      <c r="E294" s="73" t="s">
        <v>241</v>
      </c>
      <c r="F294" s="30"/>
      <c r="G294" s="31"/>
      <c r="H294" s="81" t="s">
        <v>13</v>
      </c>
      <c r="I294" s="32"/>
    </row>
    <row r="295" spans="2:9" ht="13.2">
      <c r="B295" s="367" t="s">
        <v>293</v>
      </c>
      <c r="C295" s="120" t="s">
        <v>189</v>
      </c>
      <c r="D295" s="121"/>
      <c r="E295" s="122" t="s">
        <v>60</v>
      </c>
      <c r="F295" s="62" t="s">
        <v>13</v>
      </c>
      <c r="G295" s="62" t="s">
        <v>13</v>
      </c>
      <c r="H295" s="81" t="s">
        <v>13</v>
      </c>
      <c r="I295" s="65" t="s">
        <v>13</v>
      </c>
    </row>
    <row r="296" spans="2:9" ht="57">
      <c r="B296" s="368" t="s">
        <v>294</v>
      </c>
      <c r="C296" s="123"/>
      <c r="D296" s="124"/>
      <c r="E296" s="80" t="s">
        <v>123</v>
      </c>
      <c r="F296" s="81" t="s">
        <v>4</v>
      </c>
      <c r="G296" s="68">
        <f>5.85+5.85</f>
        <v>11.7</v>
      </c>
      <c r="H296" s="69">
        <f t="shared" si="39"/>
        <v>0</v>
      </c>
      <c r="I296" s="70">
        <f t="shared" ref="I296:I298" si="41">ROUND($G296*H296,2)</f>
        <v>0</v>
      </c>
    </row>
    <row r="297" spans="2:9" ht="34.200000000000003">
      <c r="B297" s="368" t="s">
        <v>295</v>
      </c>
      <c r="C297" s="123"/>
      <c r="D297" s="124"/>
      <c r="E297" s="80" t="s">
        <v>124</v>
      </c>
      <c r="F297" s="81" t="s">
        <v>4</v>
      </c>
      <c r="G297" s="68">
        <f>6+6</f>
        <v>12</v>
      </c>
      <c r="H297" s="69">
        <f t="shared" si="39"/>
        <v>0</v>
      </c>
      <c r="I297" s="70">
        <f t="shared" si="41"/>
        <v>0</v>
      </c>
    </row>
    <row r="298" spans="2:9" ht="34.200000000000003">
      <c r="B298" s="368" t="s">
        <v>296</v>
      </c>
      <c r="C298" s="125"/>
      <c r="D298" s="126"/>
      <c r="E298" s="127" t="s">
        <v>144</v>
      </c>
      <c r="F298" s="128" t="s">
        <v>4</v>
      </c>
      <c r="G298" s="68">
        <f>(5.93+5.93+5.93+5.93)</f>
        <v>23.72</v>
      </c>
      <c r="H298" s="69">
        <f t="shared" si="39"/>
        <v>0</v>
      </c>
      <c r="I298" s="70">
        <f t="shared" si="41"/>
        <v>0</v>
      </c>
    </row>
    <row r="299" spans="2:9" ht="13.2">
      <c r="B299" s="369"/>
      <c r="C299" s="129"/>
      <c r="D299" s="130"/>
      <c r="E299" s="87" t="s">
        <v>61</v>
      </c>
      <c r="F299" s="13" t="s">
        <v>153</v>
      </c>
      <c r="G299" s="119"/>
      <c r="H299" s="81" t="s">
        <v>13</v>
      </c>
      <c r="I299" s="182" t="s">
        <v>13</v>
      </c>
    </row>
    <row r="300" spans="2:9" ht="13.2">
      <c r="B300" s="367" t="s">
        <v>297</v>
      </c>
      <c r="C300" s="375" t="s">
        <v>190</v>
      </c>
      <c r="D300" s="374"/>
      <c r="E300" s="376" t="s">
        <v>62</v>
      </c>
      <c r="F300" s="377"/>
      <c r="G300" s="381"/>
      <c r="H300" s="408" t="s">
        <v>13</v>
      </c>
      <c r="I300" s="380"/>
    </row>
    <row r="301" spans="2:9" ht="24">
      <c r="B301" s="367"/>
      <c r="C301" s="71"/>
      <c r="D301" s="72"/>
      <c r="E301" s="73" t="s">
        <v>241</v>
      </c>
      <c r="F301" s="30"/>
      <c r="G301" s="31"/>
      <c r="H301" s="81" t="s">
        <v>13</v>
      </c>
      <c r="I301" s="32"/>
    </row>
    <row r="302" spans="2:9" ht="13.2">
      <c r="B302" s="367" t="s">
        <v>298</v>
      </c>
      <c r="C302" s="60" t="s">
        <v>191</v>
      </c>
      <c r="D302" s="60"/>
      <c r="E302" s="90" t="s">
        <v>244</v>
      </c>
      <c r="F302" s="62" t="s">
        <v>13</v>
      </c>
      <c r="G302" s="62" t="s">
        <v>13</v>
      </c>
      <c r="H302" s="81" t="s">
        <v>13</v>
      </c>
      <c r="I302" s="65" t="s">
        <v>13</v>
      </c>
    </row>
    <row r="303" spans="2:9" ht="22.8">
      <c r="B303" s="368" t="s">
        <v>299</v>
      </c>
      <c r="C303" s="66"/>
      <c r="D303" s="66"/>
      <c r="E303" s="131" t="s">
        <v>245</v>
      </c>
      <c r="F303" s="132" t="s">
        <v>23</v>
      </c>
      <c r="G303" s="68">
        <v>461</v>
      </c>
      <c r="H303" s="69">
        <f t="shared" si="39"/>
        <v>0</v>
      </c>
      <c r="I303" s="70">
        <f t="shared" ref="I303:I304" si="42">ROUND($G303*H303,2)</f>
        <v>0</v>
      </c>
    </row>
    <row r="304" spans="2:9" ht="22.8">
      <c r="B304" s="368" t="s">
        <v>300</v>
      </c>
      <c r="C304" s="66"/>
      <c r="D304" s="66"/>
      <c r="E304" s="133" t="s">
        <v>246</v>
      </c>
      <c r="F304" s="132" t="s">
        <v>23</v>
      </c>
      <c r="G304" s="68">
        <f>671</f>
        <v>671</v>
      </c>
      <c r="H304" s="69">
        <f t="shared" si="39"/>
        <v>0</v>
      </c>
      <c r="I304" s="70">
        <f t="shared" si="42"/>
        <v>0</v>
      </c>
    </row>
    <row r="305" spans="2:9" ht="13.2">
      <c r="B305" s="369"/>
      <c r="C305" s="12"/>
      <c r="D305" s="25"/>
      <c r="E305" s="87" t="s">
        <v>63</v>
      </c>
      <c r="F305" s="13"/>
      <c r="G305" s="134"/>
      <c r="H305" s="81" t="s">
        <v>13</v>
      </c>
      <c r="I305" s="182" t="s">
        <v>13</v>
      </c>
    </row>
    <row r="306" spans="2:9" ht="13.2">
      <c r="B306" s="367" t="s">
        <v>301</v>
      </c>
      <c r="C306" s="375" t="s">
        <v>192</v>
      </c>
      <c r="D306" s="374"/>
      <c r="E306" s="376" t="s">
        <v>64</v>
      </c>
      <c r="F306" s="377"/>
      <c r="G306" s="381"/>
      <c r="H306" s="408" t="s">
        <v>13</v>
      </c>
      <c r="I306" s="380"/>
    </row>
    <row r="307" spans="2:9" ht="24">
      <c r="B307" s="367"/>
      <c r="C307" s="71"/>
      <c r="D307" s="72"/>
      <c r="E307" s="73" t="s">
        <v>241</v>
      </c>
      <c r="F307" s="30"/>
      <c r="G307" s="31"/>
      <c r="H307" s="81" t="s">
        <v>13</v>
      </c>
      <c r="I307" s="32"/>
    </row>
    <row r="308" spans="2:9" ht="13.2">
      <c r="B308" s="367" t="s">
        <v>302</v>
      </c>
      <c r="C308" s="60" t="s">
        <v>193</v>
      </c>
      <c r="D308" s="60"/>
      <c r="E308" s="135" t="s">
        <v>66</v>
      </c>
      <c r="F308" s="136" t="s">
        <v>13</v>
      </c>
      <c r="G308" s="136" t="s">
        <v>13</v>
      </c>
      <c r="H308" s="81" t="s">
        <v>13</v>
      </c>
      <c r="I308" s="65" t="s">
        <v>13</v>
      </c>
    </row>
    <row r="309" spans="2:9" ht="22.8">
      <c r="B309" s="368" t="s">
        <v>303</v>
      </c>
      <c r="C309" s="83"/>
      <c r="D309" s="83"/>
      <c r="E309" s="116" t="s">
        <v>158</v>
      </c>
      <c r="F309" s="137" t="s">
        <v>16</v>
      </c>
      <c r="G309" s="68">
        <f>5.9*12.85*2</f>
        <v>151.63</v>
      </c>
      <c r="H309" s="69">
        <f t="shared" si="39"/>
        <v>0</v>
      </c>
      <c r="I309" s="70">
        <f>ROUND($G309*H309,2)</f>
        <v>0</v>
      </c>
    </row>
    <row r="310" spans="2:9" ht="13.2">
      <c r="B310" s="367" t="s">
        <v>304</v>
      </c>
      <c r="C310" s="74" t="s">
        <v>194</v>
      </c>
      <c r="D310" s="74"/>
      <c r="E310" s="135" t="s">
        <v>68</v>
      </c>
      <c r="F310" s="136" t="s">
        <v>13</v>
      </c>
      <c r="G310" s="136" t="s">
        <v>13</v>
      </c>
      <c r="H310" s="81" t="s">
        <v>13</v>
      </c>
      <c r="I310" s="65" t="s">
        <v>13</v>
      </c>
    </row>
    <row r="311" spans="2:9" ht="34.799999999999997">
      <c r="B311" s="368" t="s">
        <v>305</v>
      </c>
      <c r="C311" s="98"/>
      <c r="D311" s="98"/>
      <c r="E311" s="116" t="s">
        <v>208</v>
      </c>
      <c r="F311" s="136" t="s">
        <v>4</v>
      </c>
      <c r="G311" s="68">
        <f>12+12</f>
        <v>24</v>
      </c>
      <c r="H311" s="69">
        <f t="shared" si="39"/>
        <v>0</v>
      </c>
      <c r="I311" s="70">
        <f t="shared" ref="I311:I312" si="43">ROUND($G311*H311,2)</f>
        <v>0</v>
      </c>
    </row>
    <row r="312" spans="2:9" ht="13.2">
      <c r="B312" s="368" t="s">
        <v>306</v>
      </c>
      <c r="C312" s="101"/>
      <c r="D312" s="103"/>
      <c r="E312" s="138" t="s">
        <v>133</v>
      </c>
      <c r="F312" s="136" t="s">
        <v>3</v>
      </c>
      <c r="G312" s="68">
        <v>2</v>
      </c>
      <c r="H312" s="69">
        <f t="shared" si="39"/>
        <v>0</v>
      </c>
      <c r="I312" s="70">
        <f t="shared" si="43"/>
        <v>0</v>
      </c>
    </row>
    <row r="313" spans="2:9" ht="13.2">
      <c r="B313" s="367" t="s">
        <v>307</v>
      </c>
      <c r="C313" s="74" t="s">
        <v>169</v>
      </c>
      <c r="D313" s="75"/>
      <c r="E313" s="122" t="s">
        <v>69</v>
      </c>
      <c r="F313" s="62" t="s">
        <v>13</v>
      </c>
      <c r="G313" s="62" t="s">
        <v>13</v>
      </c>
      <c r="H313" s="81" t="s">
        <v>13</v>
      </c>
      <c r="I313" s="65" t="s">
        <v>13</v>
      </c>
    </row>
    <row r="314" spans="2:9" ht="34.200000000000003">
      <c r="B314" s="368" t="s">
        <v>308</v>
      </c>
      <c r="C314" s="98"/>
      <c r="D314" s="99"/>
      <c r="E314" s="80" t="s">
        <v>161</v>
      </c>
      <c r="F314" s="81" t="s">
        <v>16</v>
      </c>
      <c r="G314" s="68">
        <f>8*9.2+(8.9*9-0.96*8.9)+7.7*5.1+(5.5*4.5-0.96*5.5)+3.14*3.2*(3.9+1)/3</f>
        <v>220.31</v>
      </c>
      <c r="H314" s="69">
        <f t="shared" si="39"/>
        <v>0</v>
      </c>
      <c r="I314" s="70">
        <f t="shared" ref="I314:I316" si="44">ROUND($G314*H314,2)</f>
        <v>0</v>
      </c>
    </row>
    <row r="315" spans="2:9" ht="22.8">
      <c r="B315" s="368" t="s">
        <v>309</v>
      </c>
      <c r="C315" s="98"/>
      <c r="D315" s="99"/>
      <c r="E315" s="80" t="s">
        <v>70</v>
      </c>
      <c r="F315" s="62" t="s">
        <v>4</v>
      </c>
      <c r="G315" s="68">
        <f>(11.2+8)+(9.1+1+8.9)+(7+7.7)+(4.8+0.9+5.5)+(1+3.5)+(5+5)</f>
        <v>78.599999999999994</v>
      </c>
      <c r="H315" s="69">
        <f t="shared" si="39"/>
        <v>0</v>
      </c>
      <c r="I315" s="70">
        <f t="shared" si="44"/>
        <v>0</v>
      </c>
    </row>
    <row r="316" spans="2:9" ht="22.8">
      <c r="B316" s="368" t="s">
        <v>310</v>
      </c>
      <c r="C316" s="98"/>
      <c r="D316" s="98"/>
      <c r="E316" s="139" t="s">
        <v>142</v>
      </c>
      <c r="F316" s="62" t="s">
        <v>4</v>
      </c>
      <c r="G316" s="68">
        <f>6.8+5.4+3.6+7.1</f>
        <v>22.9</v>
      </c>
      <c r="H316" s="69">
        <f t="shared" si="39"/>
        <v>0</v>
      </c>
      <c r="I316" s="70">
        <f t="shared" si="44"/>
        <v>0</v>
      </c>
    </row>
    <row r="317" spans="2:9" ht="13.2">
      <c r="B317" s="367" t="s">
        <v>311</v>
      </c>
      <c r="C317" s="60" t="s">
        <v>195</v>
      </c>
      <c r="D317" s="60"/>
      <c r="E317" s="90" t="s">
        <v>71</v>
      </c>
      <c r="F317" s="140" t="s">
        <v>13</v>
      </c>
      <c r="G317" s="140" t="s">
        <v>13</v>
      </c>
      <c r="H317" s="81" t="s">
        <v>13</v>
      </c>
      <c r="I317" s="65" t="s">
        <v>13</v>
      </c>
    </row>
    <row r="318" spans="2:9" ht="57">
      <c r="B318" s="368" t="s">
        <v>312</v>
      </c>
      <c r="C318" s="66"/>
      <c r="D318" s="66"/>
      <c r="E318" s="141" t="s">
        <v>127</v>
      </c>
      <c r="F318" s="137" t="s">
        <v>16</v>
      </c>
      <c r="G318" s="68">
        <f>16.35*11.45+1.55*4.46*2+1.55*4.25*2+0.7*4</f>
        <v>217.01</v>
      </c>
      <c r="H318" s="69">
        <f t="shared" si="39"/>
        <v>0</v>
      </c>
      <c r="I318" s="70">
        <f t="shared" ref="I318:I319" si="45">ROUND($G318*H318,2)</f>
        <v>0</v>
      </c>
    </row>
    <row r="319" spans="2:9" ht="45.6">
      <c r="B319" s="368" t="s">
        <v>313</v>
      </c>
      <c r="C319" s="83"/>
      <c r="D319" s="83"/>
      <c r="E319" s="67" t="s">
        <v>125</v>
      </c>
      <c r="F319" s="81" t="s">
        <v>16</v>
      </c>
      <c r="G319" s="68">
        <f>(7.9+9.1+5.5+7.9)*1.66+1.92*11.3*2</f>
        <v>93.86</v>
      </c>
      <c r="H319" s="69">
        <f t="shared" si="39"/>
        <v>0</v>
      </c>
      <c r="I319" s="70">
        <f t="shared" si="45"/>
        <v>0</v>
      </c>
    </row>
    <row r="320" spans="2:9" ht="13.2">
      <c r="B320" s="367" t="s">
        <v>314</v>
      </c>
      <c r="C320" s="60" t="s">
        <v>170</v>
      </c>
      <c r="D320" s="60"/>
      <c r="E320" s="61" t="s">
        <v>72</v>
      </c>
      <c r="F320" s="81" t="s">
        <v>13</v>
      </c>
      <c r="G320" s="143" t="s">
        <v>13</v>
      </c>
      <c r="H320" s="81" t="s">
        <v>13</v>
      </c>
      <c r="I320" s="65" t="s">
        <v>13</v>
      </c>
    </row>
    <row r="321" spans="2:9" ht="34.200000000000003">
      <c r="B321" s="368" t="s">
        <v>315</v>
      </c>
      <c r="C321" s="66"/>
      <c r="D321" s="66"/>
      <c r="E321" s="144" t="s">
        <v>148</v>
      </c>
      <c r="F321" s="81" t="s">
        <v>4</v>
      </c>
      <c r="G321" s="68">
        <f>3.85+7.9</f>
        <v>11.75</v>
      </c>
      <c r="H321" s="69">
        <f t="shared" si="39"/>
        <v>0</v>
      </c>
      <c r="I321" s="70">
        <f>ROUND($G321*H321,2)</f>
        <v>0</v>
      </c>
    </row>
    <row r="322" spans="2:9" ht="22.8">
      <c r="B322" s="367" t="s">
        <v>316</v>
      </c>
      <c r="C322" s="60" t="s">
        <v>196</v>
      </c>
      <c r="D322" s="60"/>
      <c r="E322" s="145" t="s">
        <v>131</v>
      </c>
      <c r="F322" s="146" t="s">
        <v>13</v>
      </c>
      <c r="G322" s="146" t="s">
        <v>13</v>
      </c>
      <c r="H322" s="81" t="s">
        <v>13</v>
      </c>
      <c r="I322" s="65" t="s">
        <v>13</v>
      </c>
    </row>
    <row r="323" spans="2:9" ht="34.200000000000003">
      <c r="B323" s="368" t="s">
        <v>317</v>
      </c>
      <c r="C323" s="66"/>
      <c r="D323" s="66"/>
      <c r="E323" s="147" t="s">
        <v>206</v>
      </c>
      <c r="F323" s="146" t="s">
        <v>4</v>
      </c>
      <c r="G323" s="68">
        <f>(16+18+10+17)*0.5</f>
        <v>30.5</v>
      </c>
      <c r="H323" s="69">
        <f t="shared" si="39"/>
        <v>0</v>
      </c>
      <c r="I323" s="70">
        <f t="shared" ref="I323:I325" si="46">ROUND($G323*H323,2)</f>
        <v>0</v>
      </c>
    </row>
    <row r="324" spans="2:9" ht="22.8">
      <c r="B324" s="368" t="s">
        <v>318</v>
      </c>
      <c r="C324" s="66"/>
      <c r="D324" s="66"/>
      <c r="E324" s="147" t="s">
        <v>147</v>
      </c>
      <c r="F324" s="146" t="s">
        <v>4</v>
      </c>
      <c r="G324" s="68">
        <f>(12+15)*0.5</f>
        <v>13.5</v>
      </c>
      <c r="H324" s="69">
        <f t="shared" si="39"/>
        <v>0</v>
      </c>
      <c r="I324" s="70">
        <f t="shared" si="46"/>
        <v>0</v>
      </c>
    </row>
    <row r="325" spans="2:9" ht="15.6">
      <c r="B325" s="368" t="s">
        <v>319</v>
      </c>
      <c r="C325" s="66"/>
      <c r="D325" s="66"/>
      <c r="E325" s="147" t="s">
        <v>145</v>
      </c>
      <c r="F325" s="146" t="s">
        <v>76</v>
      </c>
      <c r="G325" s="68">
        <f>2+2+1.5+4+1</f>
        <v>10.5</v>
      </c>
      <c r="H325" s="69">
        <f t="shared" si="39"/>
        <v>0</v>
      </c>
      <c r="I325" s="70">
        <f t="shared" si="46"/>
        <v>0</v>
      </c>
    </row>
    <row r="326" spans="2:9" ht="22.8">
      <c r="B326" s="367" t="s">
        <v>320</v>
      </c>
      <c r="C326" s="74" t="s">
        <v>197</v>
      </c>
      <c r="D326" s="74"/>
      <c r="E326" s="148" t="s">
        <v>73</v>
      </c>
      <c r="F326" s="81" t="s">
        <v>13</v>
      </c>
      <c r="G326" s="81" t="s">
        <v>13</v>
      </c>
      <c r="H326" s="81" t="s">
        <v>13</v>
      </c>
      <c r="I326" s="65" t="s">
        <v>13</v>
      </c>
    </row>
    <row r="327" spans="2:9" ht="13.2">
      <c r="B327" s="368" t="s">
        <v>321</v>
      </c>
      <c r="C327" s="98"/>
      <c r="D327" s="98"/>
      <c r="E327" s="149" t="s">
        <v>74</v>
      </c>
      <c r="F327" s="136" t="s">
        <v>3</v>
      </c>
      <c r="G327" s="68">
        <v>2</v>
      </c>
      <c r="H327" s="69">
        <f t="shared" si="39"/>
        <v>0</v>
      </c>
      <c r="I327" s="70">
        <f t="shared" ref="I327:I328" si="47">ROUND($G327*H327,2)</f>
        <v>0</v>
      </c>
    </row>
    <row r="328" spans="2:9" ht="22.8">
      <c r="B328" s="368" t="s">
        <v>322</v>
      </c>
      <c r="C328" s="101"/>
      <c r="D328" s="101"/>
      <c r="E328" s="150" t="s">
        <v>128</v>
      </c>
      <c r="F328" s="151" t="s">
        <v>3</v>
      </c>
      <c r="G328" s="68">
        <v>16</v>
      </c>
      <c r="H328" s="69">
        <f t="shared" si="39"/>
        <v>0</v>
      </c>
      <c r="I328" s="70">
        <f t="shared" si="47"/>
        <v>0</v>
      </c>
    </row>
    <row r="329" spans="2:9" ht="13.2">
      <c r="B329" s="367" t="s">
        <v>323</v>
      </c>
      <c r="C329" s="60" t="s">
        <v>198</v>
      </c>
      <c r="D329" s="60"/>
      <c r="E329" s="152" t="s">
        <v>75</v>
      </c>
      <c r="F329" s="153" t="s">
        <v>13</v>
      </c>
      <c r="G329" s="153" t="s">
        <v>13</v>
      </c>
      <c r="H329" s="81" t="s">
        <v>13</v>
      </c>
      <c r="I329" s="65" t="s">
        <v>13</v>
      </c>
    </row>
    <row r="330" spans="2:9" ht="13.2">
      <c r="B330" s="368" t="s">
        <v>324</v>
      </c>
      <c r="C330" s="83"/>
      <c r="D330" s="83"/>
      <c r="E330" s="144" t="s">
        <v>164</v>
      </c>
      <c r="F330" s="128" t="s">
        <v>16</v>
      </c>
      <c r="G330" s="68">
        <f>2*14.55*2.5</f>
        <v>72.75</v>
      </c>
      <c r="H330" s="69">
        <f t="shared" si="39"/>
        <v>0</v>
      </c>
      <c r="I330" s="70">
        <f>ROUND($G330*H330,2)</f>
        <v>0</v>
      </c>
    </row>
    <row r="331" spans="2:9" ht="13.2">
      <c r="B331" s="367" t="s">
        <v>325</v>
      </c>
      <c r="C331" s="191" t="s">
        <v>428</v>
      </c>
      <c r="D331" s="191"/>
      <c r="E331" s="177" t="s">
        <v>429</v>
      </c>
      <c r="F331" s="153" t="s">
        <v>13</v>
      </c>
      <c r="G331" s="153" t="s">
        <v>13</v>
      </c>
      <c r="H331" s="81" t="s">
        <v>13</v>
      </c>
      <c r="I331" s="65" t="s">
        <v>13</v>
      </c>
    </row>
    <row r="332" spans="2:9" ht="13.2">
      <c r="B332" s="368" t="s">
        <v>326</v>
      </c>
      <c r="C332" s="66"/>
      <c r="D332" s="66"/>
      <c r="E332" s="178" t="s">
        <v>430</v>
      </c>
      <c r="F332" s="146" t="s">
        <v>4</v>
      </c>
      <c r="G332" s="68">
        <f>4.7*2</f>
        <v>9.4</v>
      </c>
      <c r="H332" s="69">
        <f t="shared" si="39"/>
        <v>0</v>
      </c>
      <c r="I332" s="70">
        <f t="shared" ref="I332:I333" si="48">ROUND($G332*H332,2)</f>
        <v>0</v>
      </c>
    </row>
    <row r="333" spans="2:9" ht="13.2">
      <c r="B333" s="368" t="s">
        <v>327</v>
      </c>
      <c r="C333" s="66"/>
      <c r="D333" s="66"/>
      <c r="E333" s="178" t="s">
        <v>431</v>
      </c>
      <c r="F333" s="146" t="s">
        <v>3</v>
      </c>
      <c r="G333" s="68">
        <v>2</v>
      </c>
      <c r="H333" s="69">
        <f t="shared" si="39"/>
        <v>0</v>
      </c>
      <c r="I333" s="70">
        <f t="shared" si="48"/>
        <v>0</v>
      </c>
    </row>
    <row r="334" spans="2:9" ht="13.2">
      <c r="B334" s="367" t="s">
        <v>361</v>
      </c>
      <c r="C334" s="60" t="s">
        <v>199</v>
      </c>
      <c r="D334" s="60"/>
      <c r="E334" s="152" t="s">
        <v>110</v>
      </c>
      <c r="F334" s="151" t="s">
        <v>13</v>
      </c>
      <c r="G334" s="154" t="s">
        <v>13</v>
      </c>
      <c r="H334" s="81" t="s">
        <v>13</v>
      </c>
      <c r="I334" s="65" t="s">
        <v>13</v>
      </c>
    </row>
    <row r="335" spans="2:9" ht="22.8">
      <c r="B335" s="370" t="s">
        <v>328</v>
      </c>
      <c r="C335" s="66"/>
      <c r="D335" s="82"/>
      <c r="E335" s="155" t="s">
        <v>126</v>
      </c>
      <c r="F335" s="81" t="s">
        <v>16</v>
      </c>
      <c r="G335" s="68">
        <f>2*4.4*11.3</f>
        <v>99.44</v>
      </c>
      <c r="H335" s="69">
        <f t="shared" ref="H335:H338" si="49">L335*$K$5</f>
        <v>0</v>
      </c>
      <c r="I335" s="70">
        <f t="shared" ref="I335:I336" si="50">ROUND($G335*H335,2)</f>
        <v>0</v>
      </c>
    </row>
    <row r="336" spans="2:9" ht="22.8">
      <c r="B336" s="370" t="s">
        <v>432</v>
      </c>
      <c r="C336" s="83"/>
      <c r="D336" s="84"/>
      <c r="E336" s="156" t="s">
        <v>143</v>
      </c>
      <c r="F336" s="81" t="s">
        <v>17</v>
      </c>
      <c r="G336" s="68">
        <f>0.25*9.15*11.3</f>
        <v>25.85</v>
      </c>
      <c r="H336" s="69">
        <f t="shared" si="49"/>
        <v>0</v>
      </c>
      <c r="I336" s="70">
        <f t="shared" si="50"/>
        <v>0</v>
      </c>
    </row>
    <row r="337" spans="2:9" ht="22.8">
      <c r="B337" s="370" t="s">
        <v>433</v>
      </c>
      <c r="C337" s="192" t="s">
        <v>362</v>
      </c>
      <c r="D337" s="193"/>
      <c r="E337" s="158" t="s">
        <v>162</v>
      </c>
      <c r="F337" s="128" t="s">
        <v>13</v>
      </c>
      <c r="G337" s="128" t="s">
        <v>13</v>
      </c>
      <c r="H337" s="81" t="s">
        <v>13</v>
      </c>
      <c r="I337" s="65" t="s">
        <v>13</v>
      </c>
    </row>
    <row r="338" spans="2:9" ht="13.2">
      <c r="B338" s="370" t="s">
        <v>434</v>
      </c>
      <c r="C338" s="83"/>
      <c r="D338" s="159"/>
      <c r="E338" s="158" t="s">
        <v>435</v>
      </c>
      <c r="F338" s="81" t="s">
        <v>3</v>
      </c>
      <c r="G338" s="68">
        <v>4</v>
      </c>
      <c r="H338" s="69">
        <f t="shared" si="49"/>
        <v>0</v>
      </c>
      <c r="I338" s="70">
        <f>ROUND($G338*H338,2)</f>
        <v>0</v>
      </c>
    </row>
    <row r="339" spans="2:9" ht="13.2">
      <c r="B339" s="369"/>
      <c r="C339" s="12"/>
      <c r="D339" s="25"/>
      <c r="E339" s="14" t="s">
        <v>77</v>
      </c>
      <c r="F339" s="13"/>
      <c r="G339" s="96"/>
      <c r="H339" s="194" t="s">
        <v>13</v>
      </c>
      <c r="I339" s="34" t="s">
        <v>13</v>
      </c>
    </row>
    <row r="340" spans="2:9" ht="13.8">
      <c r="B340" s="367"/>
      <c r="C340" s="562" t="s">
        <v>421</v>
      </c>
      <c r="D340" s="562"/>
      <c r="E340" s="562"/>
      <c r="F340" s="7"/>
      <c r="G340" s="195"/>
      <c r="H340" s="33" t="s">
        <v>13</v>
      </c>
      <c r="I340" s="10">
        <f>SUM(I227:I338)</f>
        <v>0</v>
      </c>
    </row>
    <row r="341" spans="2:9" ht="26.4">
      <c r="B341" s="205" t="s">
        <v>334</v>
      </c>
      <c r="C341" s="558" t="s">
        <v>436</v>
      </c>
      <c r="D341" s="559"/>
      <c r="E341" s="560"/>
      <c r="F341" s="560"/>
      <c r="G341" s="560"/>
      <c r="H341" s="560"/>
      <c r="I341" s="561"/>
    </row>
    <row r="342" spans="2:9" ht="24">
      <c r="B342" s="371" t="s">
        <v>0</v>
      </c>
      <c r="C342" s="404" t="s">
        <v>210</v>
      </c>
      <c r="D342" s="404" t="s">
        <v>333</v>
      </c>
      <c r="E342" s="405" t="s">
        <v>203</v>
      </c>
      <c r="F342" s="310" t="s">
        <v>204</v>
      </c>
      <c r="G342" s="405" t="s">
        <v>1</v>
      </c>
      <c r="H342" s="41" t="s">
        <v>111</v>
      </c>
      <c r="I342" s="406" t="s">
        <v>112</v>
      </c>
    </row>
    <row r="343" spans="2:9" ht="13.2">
      <c r="B343" s="369"/>
      <c r="C343" s="128"/>
      <c r="D343" s="196"/>
      <c r="E343" s="87" t="s">
        <v>438</v>
      </c>
      <c r="F343" s="13" t="s">
        <v>153</v>
      </c>
      <c r="G343" s="37"/>
      <c r="H343" s="181"/>
      <c r="I343" s="182" t="s">
        <v>13</v>
      </c>
    </row>
    <row r="344" spans="2:9" ht="13.2">
      <c r="B344" s="367" t="s">
        <v>439</v>
      </c>
      <c r="C344" s="375" t="s">
        <v>440</v>
      </c>
      <c r="D344" s="374"/>
      <c r="E344" s="376" t="s">
        <v>441</v>
      </c>
      <c r="F344" s="377"/>
      <c r="G344" s="381"/>
      <c r="H344" s="397"/>
      <c r="I344" s="380"/>
    </row>
    <row r="345" spans="2:9" ht="24">
      <c r="B345" s="367"/>
      <c r="C345" s="71"/>
      <c r="D345" s="72"/>
      <c r="E345" s="73" t="s">
        <v>241</v>
      </c>
      <c r="F345" s="30"/>
      <c r="G345" s="31"/>
      <c r="H345" s="38"/>
      <c r="I345" s="32"/>
    </row>
    <row r="346" spans="2:9" ht="13.2">
      <c r="B346" s="367" t="s">
        <v>248</v>
      </c>
      <c r="C346" s="60" t="s">
        <v>166</v>
      </c>
      <c r="D346" s="60"/>
      <c r="E346" s="61" t="s">
        <v>116</v>
      </c>
      <c r="F346" s="62" t="s">
        <v>13</v>
      </c>
      <c r="G346" s="63" t="s">
        <v>13</v>
      </c>
      <c r="H346" s="64"/>
      <c r="I346" s="65" t="s">
        <v>13</v>
      </c>
    </row>
    <row r="347" spans="2:9" ht="22.8">
      <c r="B347" s="368" t="s">
        <v>249</v>
      </c>
      <c r="C347" s="66"/>
      <c r="D347" s="66"/>
      <c r="E347" s="67" t="s">
        <v>160</v>
      </c>
      <c r="F347" s="62" t="s">
        <v>17</v>
      </c>
      <c r="G347" s="68">
        <f>1.02*12.5*2</f>
        <v>25.5</v>
      </c>
      <c r="H347" s="69">
        <f t="shared" ref="H347:H406" si="51">L347*$K$5</f>
        <v>0</v>
      </c>
      <c r="I347" s="70">
        <f t="shared" ref="I347" si="52">ROUND($G347*H347,2)</f>
        <v>0</v>
      </c>
    </row>
    <row r="348" spans="2:9" ht="13.2">
      <c r="B348" s="368" t="s">
        <v>442</v>
      </c>
      <c r="C348" s="197" t="s">
        <v>443</v>
      </c>
      <c r="D348" s="197"/>
      <c r="E348" s="198" t="s">
        <v>444</v>
      </c>
      <c r="F348" s="62" t="s">
        <v>13</v>
      </c>
      <c r="G348" s="199" t="s">
        <v>13</v>
      </c>
      <c r="H348" s="69" t="s">
        <v>13</v>
      </c>
      <c r="I348" s="49" t="s">
        <v>13</v>
      </c>
    </row>
    <row r="349" spans="2:9" ht="26.4">
      <c r="B349" s="368" t="s">
        <v>445</v>
      </c>
      <c r="C349" s="200"/>
      <c r="D349" s="201"/>
      <c r="E349" s="202" t="s">
        <v>446</v>
      </c>
      <c r="F349" s="94" t="s">
        <v>363</v>
      </c>
      <c r="G349" s="203">
        <v>420</v>
      </c>
      <c r="H349" s="186">
        <f t="shared" si="51"/>
        <v>0</v>
      </c>
      <c r="I349" s="70">
        <f>ROUND($G349*H349,2)</f>
        <v>0</v>
      </c>
    </row>
    <row r="350" spans="2:9" ht="13.2">
      <c r="B350" s="369"/>
      <c r="C350" s="129"/>
      <c r="D350" s="130"/>
      <c r="E350" s="87" t="s">
        <v>447</v>
      </c>
      <c r="F350" s="13" t="s">
        <v>153</v>
      </c>
      <c r="G350" s="134"/>
      <c r="H350" s="190"/>
      <c r="I350" s="317" t="s">
        <v>13</v>
      </c>
    </row>
    <row r="351" spans="2:9" ht="13.2">
      <c r="B351" s="367" t="s">
        <v>250</v>
      </c>
      <c r="C351" s="375" t="s">
        <v>172</v>
      </c>
      <c r="D351" s="374"/>
      <c r="E351" s="376" t="s">
        <v>20</v>
      </c>
      <c r="F351" s="377"/>
      <c r="G351" s="381"/>
      <c r="H351" s="382"/>
      <c r="I351" s="396"/>
    </row>
    <row r="352" spans="2:9" ht="24">
      <c r="B352" s="367"/>
      <c r="C352" s="71"/>
      <c r="D352" s="72"/>
      <c r="E352" s="73" t="s">
        <v>241</v>
      </c>
      <c r="F352" s="30"/>
      <c r="G352" s="31"/>
      <c r="H352" s="185"/>
      <c r="I352" s="32"/>
    </row>
    <row r="353" spans="2:9" ht="13.2">
      <c r="B353" s="367" t="s">
        <v>251</v>
      </c>
      <c r="C353" s="74" t="s">
        <v>173</v>
      </c>
      <c r="D353" s="75"/>
      <c r="E353" s="76" t="s">
        <v>115</v>
      </c>
      <c r="F353" s="62" t="s">
        <v>13</v>
      </c>
      <c r="G353" s="63" t="s">
        <v>13</v>
      </c>
      <c r="H353" s="189" t="s">
        <v>13</v>
      </c>
      <c r="I353" s="65" t="s">
        <v>13</v>
      </c>
    </row>
    <row r="354" spans="2:9" ht="13.2">
      <c r="B354" s="369"/>
      <c r="C354" s="77"/>
      <c r="D354" s="78"/>
      <c r="E354" s="79" t="s">
        <v>117</v>
      </c>
      <c r="F354" s="62" t="s">
        <v>13</v>
      </c>
      <c r="G354" s="63" t="s">
        <v>13</v>
      </c>
      <c r="H354" s="69" t="s">
        <v>13</v>
      </c>
      <c r="I354" s="65" t="s">
        <v>13</v>
      </c>
    </row>
    <row r="355" spans="2:9" ht="13.2">
      <c r="B355" s="368" t="s">
        <v>252</v>
      </c>
      <c r="C355" s="66"/>
      <c r="D355" s="82"/>
      <c r="E355" s="80" t="s">
        <v>365</v>
      </c>
      <c r="F355" s="81" t="s">
        <v>23</v>
      </c>
      <c r="G355" s="68">
        <v>32292</v>
      </c>
      <c r="H355" s="69">
        <f t="shared" si="51"/>
        <v>0</v>
      </c>
      <c r="I355" s="70">
        <f t="shared" ref="I355:I359" si="53">ROUND($G355*H355,2)</f>
        <v>0</v>
      </c>
    </row>
    <row r="356" spans="2:9" ht="13.2">
      <c r="B356" s="368" t="s">
        <v>253</v>
      </c>
      <c r="C356" s="66"/>
      <c r="D356" s="82"/>
      <c r="E356" s="80" t="s">
        <v>163</v>
      </c>
      <c r="F356" s="81" t="s">
        <v>23</v>
      </c>
      <c r="G356" s="68">
        <f>200+144+151+200</f>
        <v>695</v>
      </c>
      <c r="H356" s="69">
        <f t="shared" si="51"/>
        <v>0</v>
      </c>
      <c r="I356" s="70">
        <f t="shared" si="53"/>
        <v>0</v>
      </c>
    </row>
    <row r="357" spans="2:9" ht="13.2">
      <c r="B357" s="368" t="s">
        <v>254</v>
      </c>
      <c r="C357" s="66"/>
      <c r="D357" s="82"/>
      <c r="E357" s="80" t="s">
        <v>448</v>
      </c>
      <c r="F357" s="81" t="s">
        <v>23</v>
      </c>
      <c r="G357" s="68">
        <f>10268</f>
        <v>10268</v>
      </c>
      <c r="H357" s="69">
        <f t="shared" si="51"/>
        <v>0</v>
      </c>
      <c r="I357" s="70">
        <f t="shared" si="53"/>
        <v>0</v>
      </c>
    </row>
    <row r="358" spans="2:9" ht="13.2">
      <c r="B358" s="368" t="s">
        <v>255</v>
      </c>
      <c r="C358" s="66"/>
      <c r="D358" s="82"/>
      <c r="E358" s="80" t="s">
        <v>118</v>
      </c>
      <c r="F358" s="81" t="s">
        <v>23</v>
      </c>
      <c r="G358" s="68">
        <v>2041</v>
      </c>
      <c r="H358" s="69">
        <f t="shared" si="51"/>
        <v>0</v>
      </c>
      <c r="I358" s="70">
        <f t="shared" si="53"/>
        <v>0</v>
      </c>
    </row>
    <row r="359" spans="2:9" ht="13.2">
      <c r="B359" s="368" t="s">
        <v>449</v>
      </c>
      <c r="C359" s="83"/>
      <c r="D359" s="84"/>
      <c r="E359" s="80" t="s">
        <v>205</v>
      </c>
      <c r="F359" s="81" t="s">
        <v>3</v>
      </c>
      <c r="G359" s="68">
        <v>36</v>
      </c>
      <c r="H359" s="69">
        <f t="shared" si="51"/>
        <v>0</v>
      </c>
      <c r="I359" s="70">
        <f t="shared" si="53"/>
        <v>0</v>
      </c>
    </row>
    <row r="360" spans="2:9" ht="13.2">
      <c r="B360" s="369"/>
      <c r="C360" s="83"/>
      <c r="D360" s="84"/>
      <c r="E360" s="87" t="s">
        <v>26</v>
      </c>
      <c r="F360" s="81" t="s">
        <v>153</v>
      </c>
      <c r="G360" s="37"/>
      <c r="H360"/>
      <c r="I360" s="182" t="s">
        <v>13</v>
      </c>
    </row>
    <row r="361" spans="2:9" ht="13.2">
      <c r="B361" s="367" t="s">
        <v>256</v>
      </c>
      <c r="C361" s="375" t="s">
        <v>174</v>
      </c>
      <c r="D361" s="374"/>
      <c r="E361" s="376" t="s">
        <v>27</v>
      </c>
      <c r="F361" s="377"/>
      <c r="G361" s="381"/>
      <c r="H361" s="389"/>
      <c r="I361" s="380"/>
    </row>
    <row r="362" spans="2:9" ht="24">
      <c r="B362" s="367"/>
      <c r="C362" s="71"/>
      <c r="D362" s="72"/>
      <c r="E362" s="73" t="s">
        <v>241</v>
      </c>
      <c r="F362" s="30"/>
      <c r="G362" s="31"/>
      <c r="H362"/>
      <c r="I362" s="32"/>
    </row>
    <row r="363" spans="2:9" ht="13.2">
      <c r="B363" s="367" t="s">
        <v>257</v>
      </c>
      <c r="C363" s="74" t="s">
        <v>175</v>
      </c>
      <c r="D363" s="75"/>
      <c r="E363" s="76" t="s">
        <v>29</v>
      </c>
      <c r="F363" s="62" t="s">
        <v>13</v>
      </c>
      <c r="G363" s="62" t="s">
        <v>13</v>
      </c>
      <c r="H363" s="69" t="s">
        <v>13</v>
      </c>
      <c r="I363" s="65" t="s">
        <v>13</v>
      </c>
    </row>
    <row r="364" spans="2:9" ht="22.8">
      <c r="B364" s="368" t="s">
        <v>258</v>
      </c>
      <c r="C364" s="98"/>
      <c r="D364" s="99"/>
      <c r="E364" s="76" t="s">
        <v>367</v>
      </c>
      <c r="F364" s="62" t="s">
        <v>17</v>
      </c>
      <c r="G364" s="68">
        <f>114.4*2</f>
        <v>228.8</v>
      </c>
      <c r="H364" s="69">
        <f t="shared" si="51"/>
        <v>0</v>
      </c>
      <c r="I364" s="70">
        <f>ROUND($G364*H364,2)</f>
        <v>0</v>
      </c>
    </row>
    <row r="365" spans="2:9" ht="13.2">
      <c r="B365" s="367" t="s">
        <v>259</v>
      </c>
      <c r="C365" s="66" t="s">
        <v>176</v>
      </c>
      <c r="D365" s="66"/>
      <c r="E365" s="90" t="s">
        <v>31</v>
      </c>
      <c r="F365" s="81" t="s">
        <v>13</v>
      </c>
      <c r="G365" s="81" t="s">
        <v>13</v>
      </c>
      <c r="H365" s="69" t="s">
        <v>13</v>
      </c>
      <c r="I365" s="65" t="s">
        <v>13</v>
      </c>
    </row>
    <row r="366" spans="2:9" ht="13.2">
      <c r="B366" s="368" t="s">
        <v>260</v>
      </c>
      <c r="C366" s="66"/>
      <c r="D366" s="66"/>
      <c r="E366" s="67" t="s">
        <v>450</v>
      </c>
      <c r="F366" s="62" t="s">
        <v>17</v>
      </c>
      <c r="G366" s="68">
        <v>70</v>
      </c>
      <c r="H366" s="69">
        <f t="shared" si="51"/>
        <v>0</v>
      </c>
      <c r="I366" s="70">
        <f t="shared" ref="I366:I368" si="54">ROUND($G366*H366,2)</f>
        <v>0</v>
      </c>
    </row>
    <row r="367" spans="2:9" ht="13.2">
      <c r="B367" s="368" t="s">
        <v>369</v>
      </c>
      <c r="C367" s="66"/>
      <c r="D367" s="66"/>
      <c r="E367" s="67" t="s">
        <v>423</v>
      </c>
      <c r="F367" s="62" t="s">
        <v>17</v>
      </c>
      <c r="G367" s="68">
        <v>14</v>
      </c>
      <c r="H367" s="69">
        <f t="shared" si="51"/>
        <v>0</v>
      </c>
      <c r="I367" s="70">
        <f t="shared" si="54"/>
        <v>0</v>
      </c>
    </row>
    <row r="368" spans="2:9" ht="22.8">
      <c r="B368" s="368" t="s">
        <v>451</v>
      </c>
      <c r="C368" s="83"/>
      <c r="D368" s="83"/>
      <c r="E368" s="67" t="s">
        <v>370</v>
      </c>
      <c r="F368" s="62" t="s">
        <v>17</v>
      </c>
      <c r="G368" s="68">
        <v>1.1000000000000001</v>
      </c>
      <c r="H368" s="69">
        <f t="shared" si="51"/>
        <v>0</v>
      </c>
      <c r="I368" s="70">
        <f t="shared" si="54"/>
        <v>0</v>
      </c>
    </row>
    <row r="369" spans="2:9" ht="13.2">
      <c r="B369" s="367" t="s">
        <v>261</v>
      </c>
      <c r="C369" s="66" t="s">
        <v>177</v>
      </c>
      <c r="D369" s="66"/>
      <c r="E369" s="90" t="s">
        <v>129</v>
      </c>
      <c r="F369" s="81" t="s">
        <v>13</v>
      </c>
      <c r="G369" s="81" t="s">
        <v>13</v>
      </c>
      <c r="H369" s="69" t="s">
        <v>13</v>
      </c>
      <c r="I369" s="49" t="s">
        <v>13</v>
      </c>
    </row>
    <row r="370" spans="2:9" ht="13.2">
      <c r="B370" s="368" t="s">
        <v>262</v>
      </c>
      <c r="C370" s="66"/>
      <c r="D370" s="66"/>
      <c r="E370" s="67" t="s">
        <v>371</v>
      </c>
      <c r="F370" s="62" t="s">
        <v>17</v>
      </c>
      <c r="G370" s="68">
        <v>150</v>
      </c>
      <c r="H370" s="69">
        <f t="shared" si="51"/>
        <v>0</v>
      </c>
      <c r="I370" s="70">
        <f>ROUND($G370*H370,2)</f>
        <v>0</v>
      </c>
    </row>
    <row r="371" spans="2:9" ht="13.2">
      <c r="B371" s="367" t="s">
        <v>263</v>
      </c>
      <c r="C371" s="60" t="s">
        <v>179</v>
      </c>
      <c r="D371" s="60"/>
      <c r="E371" s="90" t="s">
        <v>130</v>
      </c>
      <c r="F371" s="62" t="s">
        <v>13</v>
      </c>
      <c r="G371" s="62" t="s">
        <v>13</v>
      </c>
      <c r="H371" s="69" t="s">
        <v>13</v>
      </c>
      <c r="I371" s="65" t="s">
        <v>13</v>
      </c>
    </row>
    <row r="372" spans="2:9" ht="22.8">
      <c r="B372" s="368" t="s">
        <v>264</v>
      </c>
      <c r="C372" s="83"/>
      <c r="D372" s="83"/>
      <c r="E372" s="90" t="s">
        <v>452</v>
      </c>
      <c r="F372" s="62" t="s">
        <v>17</v>
      </c>
      <c r="G372" s="93">
        <f>58.8</f>
        <v>58.8</v>
      </c>
      <c r="H372" s="69">
        <f t="shared" si="51"/>
        <v>0</v>
      </c>
      <c r="I372" s="70">
        <f>ROUND($G372*H372,2)</f>
        <v>0</v>
      </c>
    </row>
    <row r="373" spans="2:9" ht="13.2">
      <c r="B373" s="367" t="s">
        <v>265</v>
      </c>
      <c r="C373" s="60" t="s">
        <v>180</v>
      </c>
      <c r="D373" s="60"/>
      <c r="E373" s="90" t="s">
        <v>119</v>
      </c>
      <c r="F373" s="81" t="s">
        <v>13</v>
      </c>
      <c r="G373" s="81" t="s">
        <v>13</v>
      </c>
      <c r="H373" s="69" t="s">
        <v>13</v>
      </c>
      <c r="I373" s="65" t="s">
        <v>13</v>
      </c>
    </row>
    <row r="374" spans="2:9" ht="22.8">
      <c r="B374" s="368" t="s">
        <v>266</v>
      </c>
      <c r="C374" s="83"/>
      <c r="D374" s="83"/>
      <c r="E374" s="92" t="s">
        <v>138</v>
      </c>
      <c r="F374" s="94" t="s">
        <v>363</v>
      </c>
      <c r="G374" s="68">
        <f>18.8</f>
        <v>18.8</v>
      </c>
      <c r="H374" s="69">
        <f t="shared" si="51"/>
        <v>0</v>
      </c>
      <c r="I374" s="70">
        <f>ROUND($G374*H374,2)</f>
        <v>0</v>
      </c>
    </row>
    <row r="375" spans="2:9" ht="13.2">
      <c r="B375" s="369"/>
      <c r="C375" s="62"/>
      <c r="D375" s="95"/>
      <c r="E375" s="87" t="s">
        <v>39</v>
      </c>
      <c r="F375" s="62" t="s">
        <v>153</v>
      </c>
      <c r="G375" s="96"/>
      <c r="H375"/>
      <c r="I375" s="182" t="s">
        <v>13</v>
      </c>
    </row>
    <row r="376" spans="2:9" ht="13.2">
      <c r="B376" s="367" t="s">
        <v>267</v>
      </c>
      <c r="C376" s="74" t="s">
        <v>181</v>
      </c>
      <c r="D376" s="75"/>
      <c r="E376" s="97" t="s">
        <v>139</v>
      </c>
      <c r="F376" s="62" t="s">
        <v>13</v>
      </c>
      <c r="G376" s="62" t="s">
        <v>13</v>
      </c>
      <c r="H376" s="69" t="s">
        <v>13</v>
      </c>
      <c r="I376" s="65" t="s">
        <v>13</v>
      </c>
    </row>
    <row r="377" spans="2:9" ht="22.8">
      <c r="B377" s="368" t="s">
        <v>268</v>
      </c>
      <c r="C377" s="98"/>
      <c r="D377" s="99"/>
      <c r="E377" s="100" t="s">
        <v>140</v>
      </c>
      <c r="F377" s="62" t="s">
        <v>17</v>
      </c>
      <c r="G377" s="68">
        <f>5.3*2</f>
        <v>10.6</v>
      </c>
      <c r="H377" s="69">
        <f t="shared" si="51"/>
        <v>0</v>
      </c>
      <c r="I377" s="70">
        <f t="shared" ref="I377:I378" si="55">ROUND($G377*H377,2)</f>
        <v>0</v>
      </c>
    </row>
    <row r="378" spans="2:9" ht="22.8">
      <c r="B378" s="368" t="s">
        <v>453</v>
      </c>
      <c r="C378" s="103"/>
      <c r="D378" s="104"/>
      <c r="E378" s="100" t="s">
        <v>141</v>
      </c>
      <c r="F378" s="62" t="s">
        <v>17</v>
      </c>
      <c r="G378" s="68">
        <f>0.08*(11.4+11.4)</f>
        <v>1.82</v>
      </c>
      <c r="H378" s="69">
        <f t="shared" si="51"/>
        <v>0</v>
      </c>
      <c r="I378" s="70">
        <f t="shared" si="55"/>
        <v>0</v>
      </c>
    </row>
    <row r="379" spans="2:9" ht="13.2">
      <c r="B379" s="369"/>
      <c r="C379" s="103"/>
      <c r="D379" s="104"/>
      <c r="E379" s="87" t="s">
        <v>43</v>
      </c>
      <c r="F379" s="62" t="s">
        <v>153</v>
      </c>
      <c r="G379" s="39"/>
      <c r="H379"/>
      <c r="I379" s="182" t="s">
        <v>13</v>
      </c>
    </row>
    <row r="380" spans="2:9" ht="13.2">
      <c r="B380" s="367" t="s">
        <v>272</v>
      </c>
      <c r="C380" s="375" t="s">
        <v>200</v>
      </c>
      <c r="D380" s="374"/>
      <c r="E380" s="376" t="s">
        <v>44</v>
      </c>
      <c r="F380" s="377"/>
      <c r="G380" s="383"/>
      <c r="H380" s="382"/>
      <c r="I380" s="380"/>
    </row>
    <row r="381" spans="2:9" ht="24">
      <c r="B381" s="367"/>
      <c r="C381" s="71"/>
      <c r="D381" s="72"/>
      <c r="E381" s="73" t="s">
        <v>241</v>
      </c>
      <c r="F381" s="30"/>
      <c r="G381" s="105"/>
      <c r="H381"/>
      <c r="I381" s="32"/>
    </row>
    <row r="382" spans="2:9" ht="13.2">
      <c r="B382" s="367" t="s">
        <v>273</v>
      </c>
      <c r="C382" s="74" t="s">
        <v>167</v>
      </c>
      <c r="D382" s="74"/>
      <c r="E382" s="90" t="s">
        <v>132</v>
      </c>
      <c r="F382" s="62" t="s">
        <v>13</v>
      </c>
      <c r="G382" s="81" t="s">
        <v>13</v>
      </c>
      <c r="H382" s="69" t="s">
        <v>13</v>
      </c>
      <c r="I382" s="65" t="s">
        <v>13</v>
      </c>
    </row>
    <row r="383" spans="2:9" ht="22.8">
      <c r="B383" s="368" t="s">
        <v>330</v>
      </c>
      <c r="C383" s="106"/>
      <c r="D383" s="106"/>
      <c r="E383" s="67" t="s">
        <v>159</v>
      </c>
      <c r="F383" s="62" t="s">
        <v>23</v>
      </c>
      <c r="G383" s="68">
        <v>541</v>
      </c>
      <c r="H383" s="69">
        <f t="shared" si="51"/>
        <v>0</v>
      </c>
      <c r="I383" s="70">
        <f>ROUND($G383*H383,2)</f>
        <v>0</v>
      </c>
    </row>
    <row r="384" spans="2:9" ht="22.8">
      <c r="B384" s="368" t="s">
        <v>454</v>
      </c>
      <c r="C384" s="74" t="s">
        <v>355</v>
      </c>
      <c r="D384" s="74"/>
      <c r="E384" s="110" t="s">
        <v>357</v>
      </c>
      <c r="F384" s="170" t="s">
        <v>13</v>
      </c>
      <c r="G384" s="81" t="s">
        <v>13</v>
      </c>
      <c r="H384" s="69" t="s">
        <v>13</v>
      </c>
      <c r="I384" s="49" t="s">
        <v>13</v>
      </c>
    </row>
    <row r="385" spans="2:9" ht="22.8">
      <c r="B385" s="368" t="s">
        <v>274</v>
      </c>
      <c r="C385" s="206"/>
      <c r="D385" s="206"/>
      <c r="E385" s="90" t="s">
        <v>154</v>
      </c>
      <c r="F385" s="109" t="s">
        <v>15</v>
      </c>
      <c r="G385" s="68">
        <f>(17+9+12+17)*1.4</f>
        <v>77</v>
      </c>
      <c r="H385" s="69">
        <f t="shared" si="51"/>
        <v>0</v>
      </c>
      <c r="I385" s="70">
        <f>ROUND($G385*H385,2)</f>
        <v>0</v>
      </c>
    </row>
    <row r="386" spans="2:9" ht="13.2">
      <c r="B386" s="369"/>
      <c r="C386" s="12"/>
      <c r="D386" s="25"/>
      <c r="E386" s="87" t="s">
        <v>46</v>
      </c>
      <c r="F386" s="13" t="s">
        <v>153</v>
      </c>
      <c r="G386" s="96"/>
      <c r="H386"/>
      <c r="I386" s="182" t="s">
        <v>13</v>
      </c>
    </row>
    <row r="387" spans="2:9" ht="13.2">
      <c r="B387" s="367" t="s">
        <v>275</v>
      </c>
      <c r="C387" s="375" t="s">
        <v>201</v>
      </c>
      <c r="D387" s="374"/>
      <c r="E387" s="407" t="s">
        <v>380</v>
      </c>
      <c r="F387" s="377"/>
      <c r="G387" s="381"/>
      <c r="H387" s="389"/>
      <c r="I387" s="380"/>
    </row>
    <row r="388" spans="2:9" ht="24">
      <c r="B388" s="367"/>
      <c r="C388" s="71"/>
      <c r="D388" s="72"/>
      <c r="E388" s="73" t="s">
        <v>241</v>
      </c>
      <c r="F388" s="30"/>
      <c r="G388" s="31"/>
      <c r="H388"/>
      <c r="I388" s="32"/>
    </row>
    <row r="389" spans="2:9" ht="13.2">
      <c r="B389" s="367" t="s">
        <v>276</v>
      </c>
      <c r="C389" s="60" t="s">
        <v>182</v>
      </c>
      <c r="D389" s="60"/>
      <c r="E389" s="90" t="s">
        <v>49</v>
      </c>
      <c r="F389" s="62" t="s">
        <v>13</v>
      </c>
      <c r="G389" s="62" t="s">
        <v>13</v>
      </c>
      <c r="H389" s="69" t="s">
        <v>13</v>
      </c>
      <c r="I389" s="65" t="s">
        <v>13</v>
      </c>
    </row>
    <row r="390" spans="2:9" ht="34.200000000000003">
      <c r="B390" s="368" t="s">
        <v>277</v>
      </c>
      <c r="C390" s="66"/>
      <c r="D390" s="66"/>
      <c r="E390" s="110" t="s">
        <v>207</v>
      </c>
      <c r="F390" s="62" t="s">
        <v>15</v>
      </c>
      <c r="G390" s="68">
        <v>445</v>
      </c>
      <c r="H390" s="69">
        <f t="shared" si="51"/>
        <v>0</v>
      </c>
      <c r="I390" s="70">
        <f t="shared" ref="I390:I391" si="56">ROUND($G390*H390,2)</f>
        <v>0</v>
      </c>
    </row>
    <row r="391" spans="2:9" ht="45.6">
      <c r="B391" s="368" t="s">
        <v>278</v>
      </c>
      <c r="C391" s="83"/>
      <c r="D391" s="83"/>
      <c r="E391" s="92" t="s">
        <v>149</v>
      </c>
      <c r="F391" s="62" t="s">
        <v>15</v>
      </c>
      <c r="G391" s="68">
        <v>17.5</v>
      </c>
      <c r="H391" s="69">
        <f t="shared" si="51"/>
        <v>0</v>
      </c>
      <c r="I391" s="70">
        <f t="shared" si="56"/>
        <v>0</v>
      </c>
    </row>
    <row r="392" spans="2:9" ht="13.2">
      <c r="B392" s="367" t="s">
        <v>279</v>
      </c>
      <c r="C392" s="74" t="s">
        <v>168</v>
      </c>
      <c r="D392" s="74"/>
      <c r="E392" s="90" t="s">
        <v>155</v>
      </c>
      <c r="F392" s="81" t="s">
        <v>13</v>
      </c>
      <c r="G392" s="81" t="s">
        <v>13</v>
      </c>
      <c r="H392" s="69" t="s">
        <v>13</v>
      </c>
      <c r="I392" s="65" t="s">
        <v>13</v>
      </c>
    </row>
    <row r="393" spans="2:9" ht="22.8">
      <c r="B393" s="368" t="s">
        <v>280</v>
      </c>
      <c r="C393" s="103"/>
      <c r="D393" s="103"/>
      <c r="E393" s="110" t="s">
        <v>209</v>
      </c>
      <c r="F393" s="62" t="s">
        <v>15</v>
      </c>
      <c r="G393" s="68">
        <f>3.8*(3.2+7.9)*2+4.5*10.5*2</f>
        <v>178.86</v>
      </c>
      <c r="H393" s="69">
        <f t="shared" si="51"/>
        <v>0</v>
      </c>
      <c r="I393" s="70">
        <f t="shared" ref="I393:I394" si="57">ROUND($G393*H393,2)</f>
        <v>0</v>
      </c>
    </row>
    <row r="394" spans="2:9" ht="13.2">
      <c r="B394" s="368" t="s">
        <v>281</v>
      </c>
      <c r="C394" s="101"/>
      <c r="D394" s="101"/>
      <c r="E394" s="90" t="s">
        <v>150</v>
      </c>
      <c r="F394" s="62" t="s">
        <v>15</v>
      </c>
      <c r="G394" s="68">
        <v>4</v>
      </c>
      <c r="H394" s="69">
        <f t="shared" si="51"/>
        <v>0</v>
      </c>
      <c r="I394" s="70">
        <f t="shared" si="57"/>
        <v>0</v>
      </c>
    </row>
    <row r="395" spans="2:9" ht="13.2">
      <c r="B395" s="367" t="s">
        <v>282</v>
      </c>
      <c r="C395" s="74" t="s">
        <v>183</v>
      </c>
      <c r="D395" s="74"/>
      <c r="E395" s="90" t="s">
        <v>54</v>
      </c>
      <c r="F395" s="81" t="s">
        <v>13</v>
      </c>
      <c r="G395" s="81" t="s">
        <v>13</v>
      </c>
      <c r="H395" s="69" t="s">
        <v>13</v>
      </c>
      <c r="I395" s="65" t="s">
        <v>13</v>
      </c>
    </row>
    <row r="396" spans="2:9" ht="22.8">
      <c r="B396" s="368" t="s">
        <v>283</v>
      </c>
      <c r="C396" s="98"/>
      <c r="D396" s="98"/>
      <c r="E396" s="92" t="s">
        <v>156</v>
      </c>
      <c r="F396" s="62" t="s">
        <v>15</v>
      </c>
      <c r="G396" s="68">
        <f>(4.76+7.64+4.76)*1.46*2</f>
        <v>50.11</v>
      </c>
      <c r="H396" s="69">
        <f t="shared" si="51"/>
        <v>0</v>
      </c>
      <c r="I396" s="70">
        <f>ROUND($G396*H396,2)</f>
        <v>0</v>
      </c>
    </row>
    <row r="397" spans="2:9" ht="13.2">
      <c r="B397" s="367" t="s">
        <v>284</v>
      </c>
      <c r="C397" s="74" t="s">
        <v>184</v>
      </c>
      <c r="D397" s="74"/>
      <c r="E397" s="90" t="s">
        <v>121</v>
      </c>
      <c r="F397" s="81" t="s">
        <v>13</v>
      </c>
      <c r="G397" s="81" t="s">
        <v>13</v>
      </c>
      <c r="H397" s="69" t="s">
        <v>13</v>
      </c>
      <c r="I397" s="49" t="s">
        <v>13</v>
      </c>
    </row>
    <row r="398" spans="2:9" ht="22.8">
      <c r="B398" s="368" t="s">
        <v>285</v>
      </c>
      <c r="C398" s="98"/>
      <c r="D398" s="98"/>
      <c r="E398" s="111" t="s">
        <v>122</v>
      </c>
      <c r="F398" s="83" t="s">
        <v>15</v>
      </c>
      <c r="G398" s="68">
        <f>(7.64+0.2)*11.82</f>
        <v>92.67</v>
      </c>
      <c r="H398" s="69">
        <f t="shared" si="51"/>
        <v>0</v>
      </c>
      <c r="I398" s="70">
        <f>ROUND($G398*H398,2)</f>
        <v>0</v>
      </c>
    </row>
    <row r="399" spans="2:9" ht="13.2">
      <c r="B399" s="367" t="s">
        <v>286</v>
      </c>
      <c r="C399" s="74" t="s">
        <v>185</v>
      </c>
      <c r="D399" s="74"/>
      <c r="E399" s="90" t="s">
        <v>151</v>
      </c>
      <c r="F399" s="81" t="s">
        <v>13</v>
      </c>
      <c r="G399" s="81" t="s">
        <v>13</v>
      </c>
      <c r="H399" s="69" t="s">
        <v>13</v>
      </c>
      <c r="I399" s="65" t="s">
        <v>13</v>
      </c>
    </row>
    <row r="400" spans="2:9" ht="22.8">
      <c r="B400" s="368" t="s">
        <v>287</v>
      </c>
      <c r="C400" s="98"/>
      <c r="D400" s="98"/>
      <c r="E400" s="90" t="s">
        <v>152</v>
      </c>
      <c r="F400" s="83" t="s">
        <v>15</v>
      </c>
      <c r="G400" s="68">
        <f>(8.5+6.1+7.3+8.5)*1*1.4</f>
        <v>42.56</v>
      </c>
      <c r="H400" s="69">
        <f t="shared" si="51"/>
        <v>0</v>
      </c>
      <c r="I400" s="70">
        <f>ROUND($G400*H400,2)</f>
        <v>0</v>
      </c>
    </row>
    <row r="401" spans="2:9" ht="13.2">
      <c r="B401" s="369"/>
      <c r="C401" s="12"/>
      <c r="D401" s="25"/>
      <c r="E401" s="87" t="s">
        <v>58</v>
      </c>
      <c r="F401" s="13" t="s">
        <v>153</v>
      </c>
      <c r="G401" s="96"/>
      <c r="H401"/>
      <c r="I401" s="182" t="s">
        <v>13</v>
      </c>
    </row>
    <row r="402" spans="2:9" ht="13.2">
      <c r="B402" s="367" t="s">
        <v>288</v>
      </c>
      <c r="C402" s="385" t="s">
        <v>186</v>
      </c>
      <c r="D402" s="386"/>
      <c r="E402" s="387" t="s">
        <v>81</v>
      </c>
      <c r="F402" s="388"/>
      <c r="G402" s="381"/>
      <c r="H402" s="382"/>
      <c r="I402" s="380"/>
    </row>
    <row r="403" spans="2:9" ht="24">
      <c r="B403" s="367"/>
      <c r="C403" s="71"/>
      <c r="D403" s="72"/>
      <c r="E403" s="73" t="s">
        <v>241</v>
      </c>
      <c r="F403" s="30"/>
      <c r="G403" s="112"/>
      <c r="H403" s="184"/>
      <c r="I403" s="113"/>
    </row>
    <row r="404" spans="2:9" ht="13.2">
      <c r="B404" s="367" t="s">
        <v>289</v>
      </c>
      <c r="C404" s="74" t="s">
        <v>187</v>
      </c>
      <c r="D404" s="74"/>
      <c r="E404" s="61" t="s">
        <v>360</v>
      </c>
      <c r="F404" s="62" t="s">
        <v>13</v>
      </c>
      <c r="G404" s="114" t="s">
        <v>13</v>
      </c>
      <c r="H404" t="s">
        <v>13</v>
      </c>
      <c r="I404" s="65" t="s">
        <v>13</v>
      </c>
    </row>
    <row r="405" spans="2:9" ht="22.8">
      <c r="B405" s="368" t="s">
        <v>290</v>
      </c>
      <c r="C405" s="115"/>
      <c r="D405" s="115"/>
      <c r="E405" s="67" t="s">
        <v>84</v>
      </c>
      <c r="F405" s="62" t="s">
        <v>4</v>
      </c>
      <c r="G405" s="68">
        <f>8.8+2.4+11.2+2.5</f>
        <v>24.9</v>
      </c>
      <c r="H405" s="69">
        <f t="shared" si="51"/>
        <v>0</v>
      </c>
      <c r="I405" s="70">
        <f t="shared" ref="I405:I406" si="58">ROUND($G405*H405,2)</f>
        <v>0</v>
      </c>
    </row>
    <row r="406" spans="2:9" ht="22.8">
      <c r="B406" s="368" t="s">
        <v>291</v>
      </c>
      <c r="C406" s="115"/>
      <c r="D406" s="115"/>
      <c r="E406" s="116" t="s">
        <v>157</v>
      </c>
      <c r="F406" s="62" t="s">
        <v>3</v>
      </c>
      <c r="G406" s="117">
        <f>1+1+1+1</f>
        <v>4</v>
      </c>
      <c r="H406" s="69">
        <f t="shared" si="51"/>
        <v>0</v>
      </c>
      <c r="I406" s="70">
        <f t="shared" si="58"/>
        <v>0</v>
      </c>
    </row>
    <row r="407" spans="2:9" ht="13.2">
      <c r="B407" s="369"/>
      <c r="C407" s="73"/>
      <c r="D407" s="118"/>
      <c r="E407" s="112" t="s">
        <v>85</v>
      </c>
      <c r="F407" s="13" t="s">
        <v>153</v>
      </c>
      <c r="G407" s="119"/>
      <c r="H407"/>
      <c r="I407" s="182" t="s">
        <v>13</v>
      </c>
    </row>
    <row r="408" spans="2:9" ht="13.2">
      <c r="B408" s="367" t="s">
        <v>390</v>
      </c>
      <c r="C408" s="385" t="s">
        <v>391</v>
      </c>
      <c r="D408" s="386"/>
      <c r="E408" s="387" t="s">
        <v>392</v>
      </c>
      <c r="F408" s="388"/>
      <c r="G408" s="383"/>
      <c r="H408" s="382"/>
      <c r="I408" s="380"/>
    </row>
    <row r="409" spans="2:9" ht="24">
      <c r="B409" s="367"/>
      <c r="C409" s="71"/>
      <c r="D409" s="72"/>
      <c r="E409" s="73" t="s">
        <v>241</v>
      </c>
      <c r="F409" s="30"/>
      <c r="G409" s="105"/>
      <c r="H409"/>
      <c r="I409" s="32"/>
    </row>
    <row r="410" spans="2:9" ht="13.2">
      <c r="B410" s="367" t="s">
        <v>455</v>
      </c>
      <c r="C410" s="74" t="s">
        <v>456</v>
      </c>
      <c r="D410" s="75"/>
      <c r="E410" s="122" t="s">
        <v>457</v>
      </c>
      <c r="F410" s="62" t="s">
        <v>13</v>
      </c>
      <c r="G410" s="62" t="s">
        <v>13</v>
      </c>
      <c r="H410" s="69" t="s">
        <v>13</v>
      </c>
      <c r="I410" s="65" t="s">
        <v>13</v>
      </c>
    </row>
    <row r="411" spans="2:9" ht="13.2">
      <c r="B411" s="369"/>
      <c r="C411" s="98"/>
      <c r="D411" s="99"/>
      <c r="E411" s="122" t="s">
        <v>458</v>
      </c>
      <c r="F411" s="62" t="s">
        <v>13</v>
      </c>
      <c r="G411" s="62" t="s">
        <v>13</v>
      </c>
      <c r="H411" s="69" t="s">
        <v>13</v>
      </c>
      <c r="I411" s="65" t="s">
        <v>13</v>
      </c>
    </row>
    <row r="412" spans="2:9" ht="13.2">
      <c r="B412" s="368" t="s">
        <v>459</v>
      </c>
      <c r="C412" s="103"/>
      <c r="D412" s="104"/>
      <c r="E412" s="80" t="s">
        <v>460</v>
      </c>
      <c r="F412" s="62" t="s">
        <v>3</v>
      </c>
      <c r="G412" s="68">
        <v>2</v>
      </c>
      <c r="H412" s="69">
        <f t="shared" ref="H412:H472" si="59">L412*$K$5</f>
        <v>0</v>
      </c>
      <c r="I412" s="70">
        <f t="shared" ref="I412:I414" si="60">ROUND($G412*H412,2)</f>
        <v>0</v>
      </c>
    </row>
    <row r="413" spans="2:9" ht="13.2">
      <c r="B413" s="368" t="s">
        <v>461</v>
      </c>
      <c r="C413" s="103"/>
      <c r="D413" s="104"/>
      <c r="E413" s="80" t="s">
        <v>462</v>
      </c>
      <c r="F413" s="62" t="s">
        <v>3</v>
      </c>
      <c r="G413" s="68">
        <v>6</v>
      </c>
      <c r="H413" s="69">
        <f t="shared" si="59"/>
        <v>0</v>
      </c>
      <c r="I413" s="70">
        <f t="shared" si="60"/>
        <v>0</v>
      </c>
    </row>
    <row r="414" spans="2:9" ht="13.2">
      <c r="B414" s="368" t="s">
        <v>463</v>
      </c>
      <c r="C414" s="103"/>
      <c r="D414" s="104"/>
      <c r="E414" s="80" t="s">
        <v>464</v>
      </c>
      <c r="F414" s="62" t="s">
        <v>3</v>
      </c>
      <c r="G414" s="68">
        <v>8</v>
      </c>
      <c r="H414" s="69">
        <f t="shared" si="59"/>
        <v>0</v>
      </c>
      <c r="I414" s="70">
        <f t="shared" si="60"/>
        <v>0</v>
      </c>
    </row>
    <row r="415" spans="2:9" ht="13.2">
      <c r="B415" s="369"/>
      <c r="C415" s="12"/>
      <c r="D415" s="25"/>
      <c r="E415" s="87" t="s">
        <v>404</v>
      </c>
      <c r="F415" s="13" t="s">
        <v>153</v>
      </c>
      <c r="G415" s="119"/>
      <c r="H415"/>
      <c r="I415" s="182" t="s">
        <v>13</v>
      </c>
    </row>
    <row r="416" spans="2:9" ht="13.2">
      <c r="B416" s="367" t="s">
        <v>292</v>
      </c>
      <c r="C416" s="375" t="s">
        <v>188</v>
      </c>
      <c r="D416" s="374"/>
      <c r="E416" s="376" t="s">
        <v>59</v>
      </c>
      <c r="F416" s="377"/>
      <c r="G416" s="381"/>
      <c r="H416" s="382"/>
      <c r="I416" s="380"/>
    </row>
    <row r="417" spans="2:9" ht="24">
      <c r="B417" s="367"/>
      <c r="C417" s="71"/>
      <c r="D417" s="72"/>
      <c r="E417" s="73" t="s">
        <v>241</v>
      </c>
      <c r="F417" s="30"/>
      <c r="G417" s="31"/>
      <c r="H417"/>
      <c r="I417" s="32"/>
    </row>
    <row r="418" spans="2:9" ht="13.2">
      <c r="B418" s="367" t="s">
        <v>293</v>
      </c>
      <c r="C418" s="120" t="s">
        <v>405</v>
      </c>
      <c r="D418" s="121"/>
      <c r="E418" s="122" t="s">
        <v>406</v>
      </c>
      <c r="F418" s="62" t="s">
        <v>13</v>
      </c>
      <c r="G418" s="62" t="s">
        <v>13</v>
      </c>
      <c r="H418" s="69" t="s">
        <v>13</v>
      </c>
      <c r="I418" s="65" t="s">
        <v>13</v>
      </c>
    </row>
    <row r="419" spans="2:9" ht="57">
      <c r="B419" s="368" t="s">
        <v>294</v>
      </c>
      <c r="C419" s="125"/>
      <c r="D419" s="126"/>
      <c r="E419" s="80" t="s">
        <v>407</v>
      </c>
      <c r="F419" s="81" t="s">
        <v>4</v>
      </c>
      <c r="G419" s="68">
        <f>12.9*2</f>
        <v>25.8</v>
      </c>
      <c r="H419" s="69">
        <f t="shared" si="59"/>
        <v>0</v>
      </c>
      <c r="I419" s="70">
        <f>ROUND($G419*H419,2)</f>
        <v>0</v>
      </c>
    </row>
    <row r="420" spans="2:9" ht="13.2">
      <c r="B420" s="367" t="s">
        <v>408</v>
      </c>
      <c r="C420" s="120" t="s">
        <v>189</v>
      </c>
      <c r="D420" s="121"/>
      <c r="E420" s="122" t="s">
        <v>60</v>
      </c>
      <c r="F420" s="62" t="s">
        <v>13</v>
      </c>
      <c r="G420" s="62" t="s">
        <v>13</v>
      </c>
      <c r="H420" s="69" t="s">
        <v>13</v>
      </c>
      <c r="I420" s="65" t="s">
        <v>13</v>
      </c>
    </row>
    <row r="421" spans="2:9" ht="57">
      <c r="B421" s="368" t="s">
        <v>409</v>
      </c>
      <c r="C421" s="123"/>
      <c r="D421" s="124"/>
      <c r="E421" s="80" t="s">
        <v>123</v>
      </c>
      <c r="F421" s="81" t="s">
        <v>4</v>
      </c>
      <c r="G421" s="68">
        <v>7.64</v>
      </c>
      <c r="H421" s="69">
        <f t="shared" si="59"/>
        <v>0</v>
      </c>
      <c r="I421" s="70">
        <f>ROUND($G421*H421,2)</f>
        <v>0</v>
      </c>
    </row>
    <row r="422" spans="2:9" ht="34.200000000000003">
      <c r="B422" s="368" t="s">
        <v>411</v>
      </c>
      <c r="C422" s="125"/>
      <c r="D422" s="126"/>
      <c r="E422" s="127" t="s">
        <v>144</v>
      </c>
      <c r="F422" s="128" t="s">
        <v>4</v>
      </c>
      <c r="G422" s="68">
        <f>3.6*4</f>
        <v>14.4</v>
      </c>
      <c r="H422" s="69">
        <f t="shared" si="59"/>
        <v>0</v>
      </c>
      <c r="I422" s="70">
        <f>ROUND($G422*H422,2)</f>
        <v>0</v>
      </c>
    </row>
    <row r="423" spans="2:9" ht="13.2">
      <c r="B423" s="369"/>
      <c r="C423" s="129"/>
      <c r="D423" s="130"/>
      <c r="E423" s="87" t="s">
        <v>61</v>
      </c>
      <c r="F423" s="13" t="s">
        <v>153</v>
      </c>
      <c r="G423" s="119"/>
      <c r="H423"/>
      <c r="I423" s="182" t="s">
        <v>13</v>
      </c>
    </row>
    <row r="424" spans="2:9" ht="13.2">
      <c r="B424" s="367" t="s">
        <v>297</v>
      </c>
      <c r="C424" s="375" t="s">
        <v>190</v>
      </c>
      <c r="D424" s="374"/>
      <c r="E424" s="376" t="s">
        <v>62</v>
      </c>
      <c r="F424" s="377"/>
      <c r="G424" s="381"/>
      <c r="H424" s="382"/>
      <c r="I424" s="380"/>
    </row>
    <row r="425" spans="2:9" ht="24">
      <c r="B425" s="367"/>
      <c r="C425" s="71"/>
      <c r="D425" s="72"/>
      <c r="E425" s="73" t="s">
        <v>241</v>
      </c>
      <c r="F425" s="30"/>
      <c r="G425" s="31"/>
      <c r="H425"/>
      <c r="I425" s="32"/>
    </row>
    <row r="426" spans="2:9" ht="13.2">
      <c r="B426" s="367" t="s">
        <v>298</v>
      </c>
      <c r="C426" s="60" t="s">
        <v>191</v>
      </c>
      <c r="D426" s="60"/>
      <c r="E426" s="90" t="s">
        <v>244</v>
      </c>
      <c r="F426" s="62" t="s">
        <v>13</v>
      </c>
      <c r="G426" s="62" t="s">
        <v>13</v>
      </c>
      <c r="H426" s="69" t="s">
        <v>13</v>
      </c>
      <c r="I426" s="65" t="s">
        <v>13</v>
      </c>
    </row>
    <row r="427" spans="2:9" ht="22.8">
      <c r="B427" s="368" t="s">
        <v>299</v>
      </c>
      <c r="C427" s="66"/>
      <c r="D427" s="66"/>
      <c r="E427" s="131" t="s">
        <v>245</v>
      </c>
      <c r="F427" s="132" t="s">
        <v>23</v>
      </c>
      <c r="G427" s="68">
        <v>741</v>
      </c>
      <c r="H427" s="69">
        <f t="shared" si="59"/>
        <v>0</v>
      </c>
      <c r="I427" s="70">
        <f t="shared" ref="I427:I428" si="61">ROUND($G427*H427,2)</f>
        <v>0</v>
      </c>
    </row>
    <row r="428" spans="2:9" ht="22.8">
      <c r="B428" s="368" t="s">
        <v>300</v>
      </c>
      <c r="C428" s="66"/>
      <c r="D428" s="66"/>
      <c r="E428" s="133" t="s">
        <v>246</v>
      </c>
      <c r="F428" s="132" t="s">
        <v>23</v>
      </c>
      <c r="G428" s="68">
        <v>647</v>
      </c>
      <c r="H428" s="69">
        <f t="shared" si="59"/>
        <v>0</v>
      </c>
      <c r="I428" s="70">
        <f t="shared" si="61"/>
        <v>0</v>
      </c>
    </row>
    <row r="429" spans="2:9" ht="13.2">
      <c r="B429" s="369"/>
      <c r="C429" s="12"/>
      <c r="D429" s="25"/>
      <c r="E429" s="87" t="s">
        <v>63</v>
      </c>
      <c r="F429" s="13"/>
      <c r="G429" s="134"/>
      <c r="H429"/>
      <c r="I429" s="182" t="s">
        <v>13</v>
      </c>
    </row>
    <row r="430" spans="2:9" ht="13.2">
      <c r="B430" s="367" t="s">
        <v>301</v>
      </c>
      <c r="C430" s="375" t="s">
        <v>192</v>
      </c>
      <c r="D430" s="374"/>
      <c r="E430" s="376" t="s">
        <v>64</v>
      </c>
      <c r="F430" s="377"/>
      <c r="G430" s="381"/>
      <c r="H430" s="382"/>
      <c r="I430" s="380"/>
    </row>
    <row r="431" spans="2:9" ht="24">
      <c r="B431" s="367"/>
      <c r="C431" s="71"/>
      <c r="D431" s="72"/>
      <c r="E431" s="73" t="s">
        <v>241</v>
      </c>
      <c r="F431" s="30"/>
      <c r="G431" s="31"/>
      <c r="H431"/>
      <c r="I431" s="32"/>
    </row>
    <row r="432" spans="2:9" ht="13.2">
      <c r="B432" s="367" t="s">
        <v>302</v>
      </c>
      <c r="C432" s="60" t="s">
        <v>193</v>
      </c>
      <c r="D432" s="60"/>
      <c r="E432" s="135" t="s">
        <v>66</v>
      </c>
      <c r="F432" s="136" t="s">
        <v>13</v>
      </c>
      <c r="G432" s="136" t="s">
        <v>13</v>
      </c>
      <c r="H432" s="69" t="s">
        <v>13</v>
      </c>
      <c r="I432" s="65" t="s">
        <v>13</v>
      </c>
    </row>
    <row r="433" spans="2:9" ht="22.8">
      <c r="B433" s="368" t="s">
        <v>303</v>
      </c>
      <c r="C433" s="83"/>
      <c r="D433" s="83"/>
      <c r="E433" s="116" t="s">
        <v>158</v>
      </c>
      <c r="F433" s="137" t="s">
        <v>16</v>
      </c>
      <c r="G433" s="68">
        <f>4.5*10.55*2</f>
        <v>94.95</v>
      </c>
      <c r="H433" s="69">
        <f t="shared" si="59"/>
        <v>0</v>
      </c>
      <c r="I433" s="70">
        <f>ROUND($G433*H433,2)</f>
        <v>0</v>
      </c>
    </row>
    <row r="434" spans="2:9" ht="13.2">
      <c r="B434" s="367" t="s">
        <v>304</v>
      </c>
      <c r="C434" s="74" t="s">
        <v>194</v>
      </c>
      <c r="D434" s="74"/>
      <c r="E434" s="135" t="s">
        <v>68</v>
      </c>
      <c r="F434" s="136" t="s">
        <v>13</v>
      </c>
      <c r="G434" s="136" t="s">
        <v>13</v>
      </c>
      <c r="H434" s="69" t="s">
        <v>13</v>
      </c>
      <c r="I434" s="65" t="s">
        <v>13</v>
      </c>
    </row>
    <row r="435" spans="2:9" ht="34.799999999999997">
      <c r="B435" s="368" t="s">
        <v>305</v>
      </c>
      <c r="C435" s="98"/>
      <c r="D435" s="98"/>
      <c r="E435" s="116" t="s">
        <v>208</v>
      </c>
      <c r="F435" s="136" t="s">
        <v>4</v>
      </c>
      <c r="G435" s="68">
        <f>10.8+11.3</f>
        <v>22.1</v>
      </c>
      <c r="H435" s="69">
        <f t="shared" si="59"/>
        <v>0</v>
      </c>
      <c r="I435" s="70">
        <f t="shared" ref="I435:I436" si="62">ROUND($G435*H435,2)</f>
        <v>0</v>
      </c>
    </row>
    <row r="436" spans="2:9" ht="13.2">
      <c r="B436" s="368" t="s">
        <v>306</v>
      </c>
      <c r="C436" s="101"/>
      <c r="D436" s="103"/>
      <c r="E436" s="138" t="s">
        <v>133</v>
      </c>
      <c r="F436" s="136" t="s">
        <v>3</v>
      </c>
      <c r="G436" s="68">
        <v>2</v>
      </c>
      <c r="H436"/>
      <c r="I436" s="70">
        <f t="shared" si="62"/>
        <v>0</v>
      </c>
    </row>
    <row r="437" spans="2:9" ht="13.2">
      <c r="B437" s="367" t="s">
        <v>307</v>
      </c>
      <c r="C437" s="74" t="s">
        <v>169</v>
      </c>
      <c r="D437" s="75"/>
      <c r="E437" s="122" t="s">
        <v>69</v>
      </c>
      <c r="F437" s="62" t="s">
        <v>13</v>
      </c>
      <c r="G437" s="62" t="s">
        <v>13</v>
      </c>
      <c r="H437" s="69" t="s">
        <v>13</v>
      </c>
      <c r="I437" s="65" t="s">
        <v>13</v>
      </c>
    </row>
    <row r="438" spans="2:9" ht="34.200000000000003">
      <c r="B438" s="368" t="s">
        <v>308</v>
      </c>
      <c r="C438" s="98"/>
      <c r="D438" s="99"/>
      <c r="E438" s="80" t="s">
        <v>161</v>
      </c>
      <c r="F438" s="81" t="s">
        <v>16</v>
      </c>
      <c r="G438" s="68">
        <f>3.14*2.28*(2.98-0.5)/4*2+3.14*2.4*(3.15-0.5)/4*2+(9.73*5.1-0.96*9.73)+(6.8*5.4-0.96*6.8)+10.6*5+8*5.1</f>
        <v>183.14</v>
      </c>
      <c r="H438" s="69">
        <f t="shared" si="59"/>
        <v>0</v>
      </c>
      <c r="I438" s="70">
        <f t="shared" ref="I438:I440" si="63">ROUND($G438*H438,2)</f>
        <v>0</v>
      </c>
    </row>
    <row r="439" spans="2:9" ht="22.8">
      <c r="B439" s="368" t="s">
        <v>309</v>
      </c>
      <c r="C439" s="98"/>
      <c r="D439" s="99"/>
      <c r="E439" s="80" t="s">
        <v>70</v>
      </c>
      <c r="F439" s="62" t="s">
        <v>4</v>
      </c>
      <c r="G439" s="68">
        <f>(0.5+1.5+1+9.75)+(0.5+1.5+1+6.8)+(0.5+3.8+10.6)+(0.5+3.3+8)</f>
        <v>49.25</v>
      </c>
      <c r="H439" s="69">
        <f t="shared" si="59"/>
        <v>0</v>
      </c>
      <c r="I439" s="70">
        <f t="shared" si="63"/>
        <v>0</v>
      </c>
    </row>
    <row r="440" spans="2:9" ht="22.8">
      <c r="B440" s="368" t="s">
        <v>310</v>
      </c>
      <c r="C440" s="98"/>
      <c r="D440" s="98"/>
      <c r="E440" s="139" t="s">
        <v>142</v>
      </c>
      <c r="F440" s="62" t="s">
        <v>4</v>
      </c>
      <c r="G440" s="68">
        <f>3.5+3.5+4.8+4.5</f>
        <v>16.3</v>
      </c>
      <c r="H440" s="69">
        <f t="shared" si="59"/>
        <v>0</v>
      </c>
      <c r="I440" s="70">
        <f t="shared" si="63"/>
        <v>0</v>
      </c>
    </row>
    <row r="441" spans="2:9" ht="13.2">
      <c r="B441" s="367" t="s">
        <v>311</v>
      </c>
      <c r="C441" s="60" t="s">
        <v>195</v>
      </c>
      <c r="D441" s="60"/>
      <c r="E441" s="90" t="s">
        <v>71</v>
      </c>
      <c r="F441" s="140" t="s">
        <v>13</v>
      </c>
      <c r="G441" s="140" t="s">
        <v>13</v>
      </c>
      <c r="H441" s="69" t="s">
        <v>13</v>
      </c>
      <c r="I441" s="65" t="s">
        <v>13</v>
      </c>
    </row>
    <row r="442" spans="2:9" ht="57">
      <c r="B442" s="368" t="s">
        <v>312</v>
      </c>
      <c r="C442" s="66"/>
      <c r="D442" s="66"/>
      <c r="E442" s="141" t="s">
        <v>127</v>
      </c>
      <c r="F442" s="137" t="s">
        <v>16</v>
      </c>
      <c r="G442" s="68">
        <f>5*(10.55+1.02+1.02)*2+1.45*2.9*2+1.45*3.2*2+7.28*12.6+(0.9+0.55)*4.56*4</f>
        <v>261.77</v>
      </c>
      <c r="H442" s="69">
        <f t="shared" si="59"/>
        <v>0</v>
      </c>
      <c r="I442" s="70">
        <f t="shared" ref="I442:I443" si="64">ROUND($G442*H442,2)</f>
        <v>0</v>
      </c>
    </row>
    <row r="443" spans="2:9" ht="45.6">
      <c r="B443" s="368" t="s">
        <v>313</v>
      </c>
      <c r="C443" s="83"/>
      <c r="D443" s="83"/>
      <c r="E443" s="67" t="s">
        <v>125</v>
      </c>
      <c r="F443" s="81" t="s">
        <v>16</v>
      </c>
      <c r="G443" s="68">
        <f>(8.5+6.1+7.3+8.5)*1.66+7.64*1.48*2+(4.76+4.76)*1.88*2</f>
        <v>108.87</v>
      </c>
      <c r="H443" s="69">
        <f t="shared" si="59"/>
        <v>0</v>
      </c>
      <c r="I443" s="70">
        <f t="shared" si="64"/>
        <v>0</v>
      </c>
    </row>
    <row r="444" spans="2:9" ht="13.2">
      <c r="B444" s="367" t="s">
        <v>314</v>
      </c>
      <c r="C444" s="60" t="s">
        <v>170</v>
      </c>
      <c r="D444" s="60"/>
      <c r="E444" s="61" t="s">
        <v>72</v>
      </c>
      <c r="F444" s="81" t="s">
        <v>13</v>
      </c>
      <c r="G444" s="143" t="s">
        <v>13</v>
      </c>
      <c r="H444" s="69" t="s">
        <v>13</v>
      </c>
      <c r="I444" s="65" t="s">
        <v>13</v>
      </c>
    </row>
    <row r="445" spans="2:9" ht="34.200000000000003">
      <c r="B445" s="368" t="s">
        <v>315</v>
      </c>
      <c r="C445" s="66"/>
      <c r="D445" s="66"/>
      <c r="E445" s="144" t="s">
        <v>148</v>
      </c>
      <c r="F445" s="81" t="s">
        <v>4</v>
      </c>
      <c r="G445" s="68">
        <f>8.44+6.01</f>
        <v>14.45</v>
      </c>
      <c r="H445" s="69">
        <f t="shared" si="59"/>
        <v>0</v>
      </c>
      <c r="I445" s="70">
        <f>ROUND($G445*H445,2)</f>
        <v>0</v>
      </c>
    </row>
    <row r="446" spans="2:9" ht="22.8">
      <c r="B446" s="367" t="s">
        <v>316</v>
      </c>
      <c r="C446" s="60" t="s">
        <v>196</v>
      </c>
      <c r="D446" s="60"/>
      <c r="E446" s="145" t="s">
        <v>131</v>
      </c>
      <c r="F446" s="146" t="s">
        <v>13</v>
      </c>
      <c r="G446" s="146" t="s">
        <v>13</v>
      </c>
      <c r="H446" s="69" t="s">
        <v>13</v>
      </c>
      <c r="I446" s="65" t="s">
        <v>13</v>
      </c>
    </row>
    <row r="447" spans="2:9" ht="34.200000000000003">
      <c r="B447" s="368" t="s">
        <v>317</v>
      </c>
      <c r="C447" s="66"/>
      <c r="D447" s="66"/>
      <c r="E447" s="147" t="s">
        <v>206</v>
      </c>
      <c r="F447" s="146" t="s">
        <v>4</v>
      </c>
      <c r="G447" s="68">
        <f>(20+14+17+20)*0.5</f>
        <v>35.5</v>
      </c>
      <c r="H447" s="69">
        <f t="shared" si="59"/>
        <v>0</v>
      </c>
      <c r="I447" s="70">
        <f t="shared" ref="I447:I449" si="65">ROUND($G447*H447,2)</f>
        <v>0</v>
      </c>
    </row>
    <row r="448" spans="2:9" ht="22.8">
      <c r="B448" s="368" t="s">
        <v>318</v>
      </c>
      <c r="C448" s="66"/>
      <c r="D448" s="66"/>
      <c r="E448" s="147" t="s">
        <v>147</v>
      </c>
      <c r="F448" s="146" t="s">
        <v>4</v>
      </c>
      <c r="G448" s="68">
        <f>(9+9)*0.5</f>
        <v>9</v>
      </c>
      <c r="H448" s="69">
        <f t="shared" si="59"/>
        <v>0</v>
      </c>
      <c r="I448" s="70">
        <f t="shared" si="65"/>
        <v>0</v>
      </c>
    </row>
    <row r="449" spans="2:9" ht="15.6">
      <c r="B449" s="368" t="s">
        <v>319</v>
      </c>
      <c r="C449" s="66"/>
      <c r="D449" s="66"/>
      <c r="E449" s="147" t="s">
        <v>145</v>
      </c>
      <c r="F449" s="146" t="s">
        <v>76</v>
      </c>
      <c r="G449" s="68">
        <f>1.5+1.2+1.2+2.5</f>
        <v>6.4</v>
      </c>
      <c r="H449" s="69">
        <f t="shared" si="59"/>
        <v>0</v>
      </c>
      <c r="I449" s="70">
        <f t="shared" si="65"/>
        <v>0</v>
      </c>
    </row>
    <row r="450" spans="2:9" ht="22.8">
      <c r="B450" s="367" t="s">
        <v>320</v>
      </c>
      <c r="C450" s="74" t="s">
        <v>197</v>
      </c>
      <c r="D450" s="74"/>
      <c r="E450" s="148" t="s">
        <v>73</v>
      </c>
      <c r="F450" s="81" t="s">
        <v>13</v>
      </c>
      <c r="G450" s="81" t="s">
        <v>13</v>
      </c>
      <c r="H450" s="69" t="s">
        <v>13</v>
      </c>
      <c r="I450" s="65" t="s">
        <v>13</v>
      </c>
    </row>
    <row r="451" spans="2:9" ht="13.2">
      <c r="B451" s="368" t="s">
        <v>321</v>
      </c>
      <c r="C451" s="98"/>
      <c r="D451" s="98"/>
      <c r="E451" s="149" t="s">
        <v>74</v>
      </c>
      <c r="F451" s="136" t="s">
        <v>3</v>
      </c>
      <c r="G451" s="68">
        <v>2</v>
      </c>
      <c r="H451" s="69">
        <f t="shared" si="59"/>
        <v>0</v>
      </c>
      <c r="I451" s="70">
        <f t="shared" ref="I451:I452" si="66">ROUND($G451*H451,2)</f>
        <v>0</v>
      </c>
    </row>
    <row r="452" spans="2:9" ht="22.8">
      <c r="B452" s="368" t="s">
        <v>322</v>
      </c>
      <c r="C452" s="101"/>
      <c r="D452" s="101"/>
      <c r="E452" s="150" t="s">
        <v>128</v>
      </c>
      <c r="F452" s="151" t="s">
        <v>3</v>
      </c>
      <c r="G452" s="68">
        <v>16</v>
      </c>
      <c r="H452" s="69">
        <f t="shared" si="59"/>
        <v>0</v>
      </c>
      <c r="I452" s="70">
        <f t="shared" si="66"/>
        <v>0</v>
      </c>
    </row>
    <row r="453" spans="2:9" ht="13.2">
      <c r="B453" s="367" t="s">
        <v>323</v>
      </c>
      <c r="C453" s="60" t="s">
        <v>198</v>
      </c>
      <c r="D453" s="60"/>
      <c r="E453" s="152" t="s">
        <v>75</v>
      </c>
      <c r="F453" s="153" t="s">
        <v>13</v>
      </c>
      <c r="G453" s="153" t="s">
        <v>13</v>
      </c>
      <c r="H453" s="69" t="s">
        <v>13</v>
      </c>
      <c r="I453" s="65" t="s">
        <v>13</v>
      </c>
    </row>
    <row r="454" spans="2:9" ht="13.2">
      <c r="B454" s="368" t="s">
        <v>324</v>
      </c>
      <c r="C454" s="83"/>
      <c r="D454" s="66"/>
      <c r="E454" s="141" t="s">
        <v>164</v>
      </c>
      <c r="F454" s="137" t="s">
        <v>16</v>
      </c>
      <c r="G454" s="68">
        <f>(10.55+1.02*2+1.45*2)*2.5*2</f>
        <v>77.45</v>
      </c>
      <c r="H454" s="69">
        <f t="shared" si="59"/>
        <v>0</v>
      </c>
      <c r="I454" s="70">
        <f>ROUND($G454*H454,2)</f>
        <v>0</v>
      </c>
    </row>
    <row r="455" spans="2:9" ht="13.2">
      <c r="B455" s="367" t="s">
        <v>325</v>
      </c>
      <c r="C455" s="60" t="s">
        <v>199</v>
      </c>
      <c r="D455" s="60"/>
      <c r="E455" s="152" t="s">
        <v>110</v>
      </c>
      <c r="F455" s="151" t="s">
        <v>13</v>
      </c>
      <c r="G455" s="154" t="s">
        <v>13</v>
      </c>
      <c r="H455" s="69" t="s">
        <v>13</v>
      </c>
      <c r="I455" s="65" t="s">
        <v>13</v>
      </c>
    </row>
    <row r="456" spans="2:9" ht="22.8">
      <c r="B456" s="370" t="s">
        <v>326</v>
      </c>
      <c r="C456" s="66"/>
      <c r="D456" s="82"/>
      <c r="E456" s="155" t="s">
        <v>126</v>
      </c>
      <c r="F456" s="81" t="s">
        <v>16</v>
      </c>
      <c r="G456" s="68">
        <f>4.5*7.64*2</f>
        <v>68.760000000000005</v>
      </c>
      <c r="H456" s="69">
        <f t="shared" si="59"/>
        <v>0</v>
      </c>
      <c r="I456" s="70">
        <f t="shared" ref="I456:I457" si="67">ROUND($G456*H456,2)</f>
        <v>0</v>
      </c>
    </row>
    <row r="457" spans="2:9" ht="22.8">
      <c r="B457" s="370" t="s">
        <v>327</v>
      </c>
      <c r="C457" s="83"/>
      <c r="D457" s="84"/>
      <c r="E457" s="156" t="s">
        <v>143</v>
      </c>
      <c r="F457" s="81" t="s">
        <v>17</v>
      </c>
      <c r="G457" s="68">
        <f>0.22*9.45*7.64</f>
        <v>15.88</v>
      </c>
      <c r="H457" s="69">
        <f t="shared" si="59"/>
        <v>0</v>
      </c>
      <c r="I457" s="70">
        <f t="shared" si="67"/>
        <v>0</v>
      </c>
    </row>
    <row r="458" spans="2:9" ht="22.8">
      <c r="B458" s="370" t="s">
        <v>361</v>
      </c>
      <c r="C458" s="192" t="s">
        <v>362</v>
      </c>
      <c r="D458" s="193"/>
      <c r="E458" s="158" t="s">
        <v>162</v>
      </c>
      <c r="F458" s="128" t="s">
        <v>13</v>
      </c>
      <c r="G458" s="128" t="s">
        <v>13</v>
      </c>
      <c r="H458" s="69" t="s">
        <v>13</v>
      </c>
      <c r="I458" s="65" t="s">
        <v>13</v>
      </c>
    </row>
    <row r="459" spans="2:9" ht="13.2">
      <c r="B459" s="370" t="s">
        <v>328</v>
      </c>
      <c r="C459" s="83"/>
      <c r="D459" s="159"/>
      <c r="E459" s="158" t="s">
        <v>242</v>
      </c>
      <c r="F459" s="81" t="s">
        <v>3</v>
      </c>
      <c r="G459" s="68">
        <v>4</v>
      </c>
      <c r="H459" s="69">
        <f t="shared" si="59"/>
        <v>0</v>
      </c>
      <c r="I459" s="70">
        <f>ROUND($G459*H459,2)</f>
        <v>0</v>
      </c>
    </row>
    <row r="460" spans="2:9" ht="13.2">
      <c r="B460" s="369"/>
      <c r="C460" s="12"/>
      <c r="D460" s="25"/>
      <c r="E460" s="14" t="s">
        <v>77</v>
      </c>
      <c r="F460" s="13"/>
      <c r="G460" s="96"/>
      <c r="H460"/>
      <c r="I460" s="182" t="s">
        <v>13</v>
      </c>
    </row>
    <row r="461" spans="2:9" ht="13.2">
      <c r="B461" s="367" t="s">
        <v>465</v>
      </c>
      <c r="C461" s="375" t="s">
        <v>466</v>
      </c>
      <c r="D461" s="374"/>
      <c r="E461" s="376" t="s">
        <v>467</v>
      </c>
      <c r="F461" s="377"/>
      <c r="G461" s="381"/>
      <c r="H461" s="382"/>
      <c r="I461" s="409"/>
    </row>
    <row r="462" spans="2:9" ht="24">
      <c r="B462" s="369"/>
      <c r="C462" s="71"/>
      <c r="D462" s="72"/>
      <c r="E462" s="73" t="s">
        <v>241</v>
      </c>
      <c r="F462" s="30"/>
      <c r="G462" s="105"/>
      <c r="H462"/>
      <c r="I462" s="207"/>
    </row>
    <row r="463" spans="2:9" ht="13.2">
      <c r="B463" s="367" t="s">
        <v>468</v>
      </c>
      <c r="C463" s="74" t="s">
        <v>466</v>
      </c>
      <c r="D463" s="74"/>
      <c r="E463" s="90" t="s">
        <v>469</v>
      </c>
      <c r="F463" s="136" t="s">
        <v>13</v>
      </c>
      <c r="G463" s="81" t="s">
        <v>13</v>
      </c>
      <c r="H463" s="69" t="s">
        <v>13</v>
      </c>
      <c r="I463" s="65" t="s">
        <v>13</v>
      </c>
    </row>
    <row r="464" spans="2:9" ht="13.2">
      <c r="B464" s="368" t="s">
        <v>470</v>
      </c>
      <c r="C464" s="101"/>
      <c r="D464" s="101"/>
      <c r="E464" s="90" t="s">
        <v>471</v>
      </c>
      <c r="F464" s="62" t="s">
        <v>2</v>
      </c>
      <c r="G464" s="68">
        <v>1</v>
      </c>
      <c r="H464" s="69">
        <f t="shared" si="59"/>
        <v>0</v>
      </c>
      <c r="I464" s="70">
        <f>ROUND($G464*H464,2)</f>
        <v>0</v>
      </c>
    </row>
    <row r="465" spans="2:9" ht="13.2">
      <c r="B465" s="367" t="s">
        <v>472</v>
      </c>
      <c r="C465" s="74" t="s">
        <v>473</v>
      </c>
      <c r="D465" s="74"/>
      <c r="E465" s="90" t="s">
        <v>474</v>
      </c>
      <c r="F465" s="136" t="s">
        <v>13</v>
      </c>
      <c r="G465" s="81" t="s">
        <v>13</v>
      </c>
      <c r="H465" s="69" t="s">
        <v>13</v>
      </c>
      <c r="I465" s="65" t="s">
        <v>13</v>
      </c>
    </row>
    <row r="466" spans="2:9" ht="13.2">
      <c r="B466" s="368" t="s">
        <v>475</v>
      </c>
      <c r="C466" s="101"/>
      <c r="D466" s="101"/>
      <c r="E466" s="90" t="s">
        <v>476</v>
      </c>
      <c r="F466" s="62" t="s">
        <v>15</v>
      </c>
      <c r="G466" s="68">
        <v>125</v>
      </c>
      <c r="H466" s="69">
        <f t="shared" si="59"/>
        <v>0</v>
      </c>
      <c r="I466" s="70">
        <f>ROUND($G466*H466,2)</f>
        <v>0</v>
      </c>
    </row>
    <row r="467" spans="2:9" ht="13.2">
      <c r="B467" s="367" t="s">
        <v>477</v>
      </c>
      <c r="C467" s="74" t="s">
        <v>478</v>
      </c>
      <c r="D467" s="74"/>
      <c r="E467" s="90" t="s">
        <v>479</v>
      </c>
      <c r="F467" s="136" t="s">
        <v>13</v>
      </c>
      <c r="G467" s="81" t="s">
        <v>13</v>
      </c>
      <c r="H467" s="69" t="s">
        <v>13</v>
      </c>
      <c r="I467" s="65" t="s">
        <v>13</v>
      </c>
    </row>
    <row r="468" spans="2:9" ht="13.2">
      <c r="B468" s="368" t="s">
        <v>480</v>
      </c>
      <c r="C468" s="101"/>
      <c r="D468" s="101"/>
      <c r="E468" s="90" t="s">
        <v>481</v>
      </c>
      <c r="F468" s="62" t="s">
        <v>17</v>
      </c>
      <c r="G468" s="68">
        <v>12</v>
      </c>
      <c r="H468" s="69">
        <f t="shared" si="59"/>
        <v>0</v>
      </c>
      <c r="I468" s="70">
        <f>ROUND($G468*H468,2)</f>
        <v>0</v>
      </c>
    </row>
    <row r="469" spans="2:9" ht="13.2">
      <c r="B469" s="367" t="s">
        <v>482</v>
      </c>
      <c r="C469" s="74" t="s">
        <v>483</v>
      </c>
      <c r="D469" s="74"/>
      <c r="E469" s="90" t="s">
        <v>484</v>
      </c>
      <c r="F469" s="136" t="s">
        <v>13</v>
      </c>
      <c r="G469" s="81" t="s">
        <v>13</v>
      </c>
      <c r="H469" s="69" t="s">
        <v>13</v>
      </c>
      <c r="I469" s="65" t="s">
        <v>13</v>
      </c>
    </row>
    <row r="470" spans="2:9" ht="13.2">
      <c r="B470" s="368" t="s">
        <v>485</v>
      </c>
      <c r="C470" s="101"/>
      <c r="D470" s="101"/>
      <c r="E470" s="90" t="s">
        <v>486</v>
      </c>
      <c r="F470" s="62" t="s">
        <v>4</v>
      </c>
      <c r="G470" s="68">
        <v>90</v>
      </c>
      <c r="H470" s="69">
        <f t="shared" si="59"/>
        <v>0</v>
      </c>
      <c r="I470" s="70">
        <f>ROUND($G470*H470,2)</f>
        <v>0</v>
      </c>
    </row>
    <row r="471" spans="2:9" ht="13.2">
      <c r="B471" s="367" t="s">
        <v>487</v>
      </c>
      <c r="C471" s="74" t="s">
        <v>488</v>
      </c>
      <c r="D471" s="74"/>
      <c r="E471" s="90" t="s">
        <v>489</v>
      </c>
      <c r="F471" s="136" t="s">
        <v>13</v>
      </c>
      <c r="G471" s="81" t="s">
        <v>13</v>
      </c>
      <c r="H471" s="69" t="s">
        <v>13</v>
      </c>
      <c r="I471" s="65" t="s">
        <v>13</v>
      </c>
    </row>
    <row r="472" spans="2:9" ht="22.8">
      <c r="B472" s="368" t="s">
        <v>490</v>
      </c>
      <c r="C472" s="101"/>
      <c r="D472" s="101"/>
      <c r="E472" s="90" t="s">
        <v>491</v>
      </c>
      <c r="F472" s="62" t="s">
        <v>17</v>
      </c>
      <c r="G472" s="68">
        <v>18</v>
      </c>
      <c r="H472" s="69">
        <f t="shared" si="59"/>
        <v>0</v>
      </c>
      <c r="I472" s="70">
        <f>ROUND($G472*H472,2)</f>
        <v>0</v>
      </c>
    </row>
    <row r="473" spans="2:9" ht="12">
      <c r="B473" s="369"/>
      <c r="C473" s="12"/>
      <c r="D473" s="25"/>
      <c r="E473" s="87" t="s">
        <v>492</v>
      </c>
      <c r="F473" s="13"/>
      <c r="G473" s="96"/>
      <c r="H473" s="194" t="s">
        <v>13</v>
      </c>
      <c r="I473" s="34" t="s">
        <v>13</v>
      </c>
    </row>
    <row r="474" spans="2:9" ht="13.8">
      <c r="B474" s="367"/>
      <c r="C474" s="562" t="s">
        <v>421</v>
      </c>
      <c r="D474" s="562"/>
      <c r="E474" s="562"/>
      <c r="F474" s="7"/>
      <c r="G474" s="161"/>
      <c r="H474" s="33" t="s">
        <v>13</v>
      </c>
      <c r="I474" s="10">
        <f>SUM(I343:I472)</f>
        <v>0</v>
      </c>
    </row>
    <row r="475" spans="2:9" ht="26.4">
      <c r="B475" s="205" t="s">
        <v>334</v>
      </c>
      <c r="C475" s="563" t="s">
        <v>493</v>
      </c>
      <c r="D475" s="564"/>
      <c r="E475" s="565"/>
      <c r="F475" s="565"/>
      <c r="G475" s="565"/>
      <c r="H475" s="565"/>
      <c r="I475" s="566"/>
    </row>
    <row r="476" spans="2:9" ht="24">
      <c r="B476" s="371" t="s">
        <v>0</v>
      </c>
      <c r="C476" s="404" t="s">
        <v>210</v>
      </c>
      <c r="D476" s="404" t="s">
        <v>333</v>
      </c>
      <c r="E476" s="405" t="s">
        <v>203</v>
      </c>
      <c r="F476" s="310" t="s">
        <v>204</v>
      </c>
      <c r="G476" s="405" t="s">
        <v>1</v>
      </c>
      <c r="H476" s="41" t="s">
        <v>111</v>
      </c>
      <c r="I476" s="406" t="s">
        <v>112</v>
      </c>
    </row>
    <row r="477" spans="2:9" ht="13.2">
      <c r="B477" s="367" t="s">
        <v>247</v>
      </c>
      <c r="C477" s="375" t="s">
        <v>171</v>
      </c>
      <c r="D477" s="374"/>
      <c r="E477" s="376" t="s">
        <v>14</v>
      </c>
      <c r="F477" s="377"/>
      <c r="G477" s="378"/>
      <c r="H477" s="379"/>
      <c r="I477" s="380"/>
    </row>
    <row r="478" spans="2:9" ht="13.2">
      <c r="B478" s="367" t="s">
        <v>248</v>
      </c>
      <c r="C478" s="60" t="s">
        <v>166</v>
      </c>
      <c r="D478" s="60"/>
      <c r="E478" s="61" t="s">
        <v>116</v>
      </c>
      <c r="F478" s="62" t="s">
        <v>13</v>
      </c>
      <c r="G478" s="63" t="s">
        <v>13</v>
      </c>
      <c r="H478" s="64"/>
      <c r="I478" s="65" t="s">
        <v>13</v>
      </c>
    </row>
    <row r="479" spans="2:9" ht="22.8">
      <c r="B479" s="368" t="s">
        <v>249</v>
      </c>
      <c r="C479" s="66"/>
      <c r="D479" s="66"/>
      <c r="E479" s="67" t="s">
        <v>160</v>
      </c>
      <c r="F479" s="62" t="s">
        <v>17</v>
      </c>
      <c r="G479" s="68">
        <f>1.07*12.6*2</f>
        <v>26.96</v>
      </c>
      <c r="H479" s="186">
        <f t="shared" ref="H479:H541" si="68">L479*$K$5</f>
        <v>0</v>
      </c>
      <c r="I479" s="70">
        <f>ROUND($G479*H479,2)</f>
        <v>0</v>
      </c>
    </row>
    <row r="480" spans="2:9" ht="13.2">
      <c r="B480" s="367" t="s">
        <v>250</v>
      </c>
      <c r="C480" s="375" t="s">
        <v>172</v>
      </c>
      <c r="D480" s="374"/>
      <c r="E480" s="376" t="s">
        <v>20</v>
      </c>
      <c r="F480" s="377"/>
      <c r="G480" s="383"/>
      <c r="H480" s="382"/>
      <c r="I480" s="396"/>
    </row>
    <row r="481" spans="2:9" ht="24">
      <c r="B481" s="367"/>
      <c r="C481" s="71"/>
      <c r="D481" s="72"/>
      <c r="E481" s="73" t="s">
        <v>241</v>
      </c>
      <c r="F481" s="30"/>
      <c r="G481" s="208"/>
      <c r="H481" s="185"/>
      <c r="I481" s="32"/>
    </row>
    <row r="482" spans="2:9" ht="13.2">
      <c r="B482" s="367" t="s">
        <v>251</v>
      </c>
      <c r="C482" s="74" t="s">
        <v>173</v>
      </c>
      <c r="D482" s="75"/>
      <c r="E482" s="76" t="s">
        <v>115</v>
      </c>
      <c r="F482" s="62" t="s">
        <v>13</v>
      </c>
      <c r="G482" s="63" t="s">
        <v>13</v>
      </c>
      <c r="H482" s="189" t="s">
        <v>13</v>
      </c>
      <c r="I482" s="65" t="s">
        <v>13</v>
      </c>
    </row>
    <row r="483" spans="2:9" ht="13.2">
      <c r="B483" s="369"/>
      <c r="C483" s="77"/>
      <c r="D483" s="78"/>
      <c r="E483" s="79" t="s">
        <v>117</v>
      </c>
      <c r="F483" s="62" t="s">
        <v>13</v>
      </c>
      <c r="G483" s="63" t="s">
        <v>13</v>
      </c>
      <c r="H483" s="69" t="s">
        <v>13</v>
      </c>
      <c r="I483" s="65" t="s">
        <v>13</v>
      </c>
    </row>
    <row r="484" spans="2:9" ht="13.2">
      <c r="B484" s="368" t="s">
        <v>252</v>
      </c>
      <c r="C484" s="77"/>
      <c r="D484" s="78"/>
      <c r="E484" s="80" t="s">
        <v>134</v>
      </c>
      <c r="F484" s="81" t="s">
        <v>23</v>
      </c>
      <c r="G484" s="68">
        <f>26838+37949+3292</f>
        <v>68079</v>
      </c>
      <c r="H484" s="69">
        <f t="shared" si="68"/>
        <v>0</v>
      </c>
      <c r="I484" s="70">
        <f>ROUND($G484*H484,2)</f>
        <v>0</v>
      </c>
    </row>
    <row r="485" spans="2:9" ht="13.2">
      <c r="B485" s="368" t="s">
        <v>253</v>
      </c>
      <c r="C485" s="66"/>
      <c r="D485" s="82"/>
      <c r="E485" s="80" t="s">
        <v>163</v>
      </c>
      <c r="F485" s="81" t="s">
        <v>23</v>
      </c>
      <c r="G485" s="68">
        <f>184+198+101+101</f>
        <v>584</v>
      </c>
      <c r="H485" s="69">
        <f t="shared" si="68"/>
        <v>0</v>
      </c>
      <c r="I485" s="70">
        <f>ROUND($G485*H485,2)</f>
        <v>0</v>
      </c>
    </row>
    <row r="486" spans="2:9" ht="13.2">
      <c r="B486" s="368" t="s">
        <v>254</v>
      </c>
      <c r="C486" s="66"/>
      <c r="D486" s="82"/>
      <c r="E486" s="80" t="s">
        <v>118</v>
      </c>
      <c r="F486" s="81" t="s">
        <v>23</v>
      </c>
      <c r="G486" s="68">
        <f>1448</f>
        <v>1448</v>
      </c>
      <c r="H486" s="69">
        <f t="shared" si="68"/>
        <v>0</v>
      </c>
      <c r="I486" s="70">
        <f>ROUND($G486*H486,2)</f>
        <v>0</v>
      </c>
    </row>
    <row r="487" spans="2:9" ht="13.2">
      <c r="B487" s="368" t="s">
        <v>255</v>
      </c>
      <c r="C487" s="83"/>
      <c r="D487" s="84"/>
      <c r="E487" s="85" t="s">
        <v>205</v>
      </c>
      <c r="F487" s="81" t="s">
        <v>3</v>
      </c>
      <c r="G487" s="68">
        <v>24</v>
      </c>
      <c r="H487" s="69">
        <f t="shared" si="68"/>
        <v>0</v>
      </c>
      <c r="I487" s="70">
        <f>ROUND($G487*H487,2)</f>
        <v>0</v>
      </c>
    </row>
    <row r="488" spans="2:9" ht="13.2">
      <c r="B488" s="369"/>
      <c r="C488" s="83"/>
      <c r="D488" s="84"/>
      <c r="E488" s="87" t="s">
        <v>26</v>
      </c>
      <c r="F488" s="81" t="s">
        <v>153</v>
      </c>
      <c r="G488" s="209"/>
      <c r="H488"/>
      <c r="I488" s="182" t="s">
        <v>13</v>
      </c>
    </row>
    <row r="489" spans="2:9" ht="13.2">
      <c r="B489" s="367" t="s">
        <v>256</v>
      </c>
      <c r="C489" s="375" t="s">
        <v>174</v>
      </c>
      <c r="D489" s="374"/>
      <c r="E489" s="376" t="s">
        <v>27</v>
      </c>
      <c r="F489" s="377"/>
      <c r="G489" s="383"/>
      <c r="H489" s="382"/>
      <c r="I489" s="380"/>
    </row>
    <row r="490" spans="2:9" ht="24">
      <c r="B490" s="367"/>
      <c r="C490" s="71"/>
      <c r="D490" s="72"/>
      <c r="E490" s="73" t="s">
        <v>241</v>
      </c>
      <c r="F490" s="30"/>
      <c r="G490" s="208"/>
      <c r="H490"/>
      <c r="I490" s="32"/>
    </row>
    <row r="491" spans="2:9" ht="13.2">
      <c r="B491" s="367" t="s">
        <v>257</v>
      </c>
      <c r="C491" s="74" t="s">
        <v>175</v>
      </c>
      <c r="D491" s="75"/>
      <c r="E491" s="76" t="s">
        <v>29</v>
      </c>
      <c r="F491" s="62" t="s">
        <v>13</v>
      </c>
      <c r="G491" s="62" t="s">
        <v>13</v>
      </c>
      <c r="H491" s="69" t="s">
        <v>13</v>
      </c>
      <c r="I491" s="65" t="s">
        <v>13</v>
      </c>
    </row>
    <row r="492" spans="2:9" ht="22.8">
      <c r="B492" s="368" t="s">
        <v>258</v>
      </c>
      <c r="C492" s="88"/>
      <c r="D492" s="89"/>
      <c r="E492" s="76" t="s">
        <v>135</v>
      </c>
      <c r="F492" s="62" t="s">
        <v>17</v>
      </c>
      <c r="G492" s="68">
        <f>25.4*4</f>
        <v>101.6</v>
      </c>
      <c r="H492" s="69">
        <f t="shared" si="68"/>
        <v>0</v>
      </c>
      <c r="I492" s="70">
        <f>ROUND($G492*H492,2)</f>
        <v>0</v>
      </c>
    </row>
    <row r="493" spans="2:9" ht="13.2">
      <c r="B493" s="367" t="s">
        <v>259</v>
      </c>
      <c r="C493" s="66" t="s">
        <v>176</v>
      </c>
      <c r="D493" s="66"/>
      <c r="E493" s="90" t="s">
        <v>31</v>
      </c>
      <c r="F493" s="81" t="s">
        <v>13</v>
      </c>
      <c r="G493" s="81" t="s">
        <v>13</v>
      </c>
      <c r="H493" s="69" t="s">
        <v>13</v>
      </c>
      <c r="I493" s="65" t="s">
        <v>13</v>
      </c>
    </row>
    <row r="494" spans="2:9" ht="13.2">
      <c r="B494" s="368" t="s">
        <v>260</v>
      </c>
      <c r="C494" s="66"/>
      <c r="D494" s="66"/>
      <c r="E494" s="67" t="s">
        <v>165</v>
      </c>
      <c r="F494" s="62" t="s">
        <v>17</v>
      </c>
      <c r="G494" s="68">
        <f>4.3+3.1+1.2+3.2</f>
        <v>11.8</v>
      </c>
      <c r="H494" s="69">
        <f t="shared" si="68"/>
        <v>0</v>
      </c>
      <c r="I494" s="70">
        <f>ROUND($G494*H494,2)</f>
        <v>0</v>
      </c>
    </row>
    <row r="495" spans="2:9" ht="13.2">
      <c r="B495" s="367" t="s">
        <v>261</v>
      </c>
      <c r="C495" s="66" t="s">
        <v>177</v>
      </c>
      <c r="D495" s="66"/>
      <c r="E495" s="90" t="s">
        <v>129</v>
      </c>
      <c r="F495" s="81" t="s">
        <v>13</v>
      </c>
      <c r="G495" s="81" t="s">
        <v>13</v>
      </c>
      <c r="H495" s="69" t="s">
        <v>13</v>
      </c>
      <c r="I495" s="49" t="s">
        <v>13</v>
      </c>
    </row>
    <row r="496" spans="2:9" ht="22.8">
      <c r="B496" s="368" t="s">
        <v>262</v>
      </c>
      <c r="C496" s="83"/>
      <c r="D496" s="83"/>
      <c r="E496" s="67" t="s">
        <v>136</v>
      </c>
      <c r="F496" s="62" t="s">
        <v>17</v>
      </c>
      <c r="G496" s="68">
        <v>96</v>
      </c>
      <c r="H496" s="69">
        <f t="shared" si="68"/>
        <v>0</v>
      </c>
      <c r="I496" s="70">
        <f>ROUND($G496*H496,2)</f>
        <v>0</v>
      </c>
    </row>
    <row r="497" spans="2:9" ht="13.2">
      <c r="B497" s="367" t="s">
        <v>263</v>
      </c>
      <c r="C497" s="74" t="s">
        <v>178</v>
      </c>
      <c r="D497" s="74"/>
      <c r="E497" s="90" t="s">
        <v>34</v>
      </c>
      <c r="F497" s="62" t="s">
        <v>13</v>
      </c>
      <c r="G497" s="62" t="s">
        <v>13</v>
      </c>
      <c r="H497" s="69" t="s">
        <v>13</v>
      </c>
      <c r="I497" s="65" t="s">
        <v>13</v>
      </c>
    </row>
    <row r="498" spans="2:9" ht="22.8">
      <c r="B498" s="368" t="s">
        <v>264</v>
      </c>
      <c r="C498" s="91"/>
      <c r="D498" s="91"/>
      <c r="E498" s="92" t="s">
        <v>146</v>
      </c>
      <c r="F498" s="62" t="s">
        <v>17</v>
      </c>
      <c r="G498" s="68">
        <v>7.5</v>
      </c>
      <c r="H498" s="69">
        <f t="shared" si="68"/>
        <v>0</v>
      </c>
      <c r="I498" s="70">
        <f>ROUND($G498*H498,2)</f>
        <v>0</v>
      </c>
    </row>
    <row r="499" spans="2:9" ht="13.2">
      <c r="B499" s="367" t="s">
        <v>265</v>
      </c>
      <c r="C499" s="60" t="s">
        <v>179</v>
      </c>
      <c r="D499" s="60"/>
      <c r="E499" s="90" t="s">
        <v>130</v>
      </c>
      <c r="F499" s="62" t="s">
        <v>13</v>
      </c>
      <c r="G499" s="62" t="s">
        <v>13</v>
      </c>
      <c r="H499" s="69" t="s">
        <v>13</v>
      </c>
      <c r="I499" s="65" t="s">
        <v>13</v>
      </c>
    </row>
    <row r="500" spans="2:9" ht="22.8">
      <c r="B500" s="368" t="s">
        <v>266</v>
      </c>
      <c r="C500" s="66"/>
      <c r="D500" s="66"/>
      <c r="E500" s="90" t="s">
        <v>137</v>
      </c>
      <c r="F500" s="62" t="s">
        <v>17</v>
      </c>
      <c r="G500" s="93">
        <v>105</v>
      </c>
      <c r="H500" s="69">
        <f t="shared" si="68"/>
        <v>0</v>
      </c>
      <c r="I500" s="70">
        <f>ROUND($G500*H500,2)</f>
        <v>0</v>
      </c>
    </row>
    <row r="501" spans="2:9" ht="13.2">
      <c r="B501" s="367" t="s">
        <v>267</v>
      </c>
      <c r="C501" s="60" t="s">
        <v>180</v>
      </c>
      <c r="D501" s="60"/>
      <c r="E501" s="90" t="s">
        <v>119</v>
      </c>
      <c r="F501" s="81" t="s">
        <v>13</v>
      </c>
      <c r="G501" s="81" t="s">
        <v>13</v>
      </c>
      <c r="H501" s="69" t="s">
        <v>13</v>
      </c>
      <c r="I501" s="65" t="s">
        <v>13</v>
      </c>
    </row>
    <row r="502" spans="2:9" ht="22.8">
      <c r="B502" s="368" t="s">
        <v>268</v>
      </c>
      <c r="C502" s="83"/>
      <c r="D502" s="83"/>
      <c r="E502" s="92" t="s">
        <v>138</v>
      </c>
      <c r="F502" s="94" t="s">
        <v>363</v>
      </c>
      <c r="G502" s="68">
        <f>6.7*2</f>
        <v>13.4</v>
      </c>
      <c r="H502" s="69">
        <f t="shared" si="68"/>
        <v>0</v>
      </c>
      <c r="I502" s="70">
        <f>ROUND($G502*H502,2)</f>
        <v>0</v>
      </c>
    </row>
    <row r="503" spans="2:9" ht="13.2">
      <c r="B503" s="369"/>
      <c r="C503" s="62"/>
      <c r="D503" s="95"/>
      <c r="E503" s="87" t="s">
        <v>39</v>
      </c>
      <c r="F503" s="62" t="s">
        <v>153</v>
      </c>
      <c r="G503" s="210">
        <v>6</v>
      </c>
      <c r="H503"/>
      <c r="I503" s="182" t="s">
        <v>13</v>
      </c>
    </row>
    <row r="504" spans="2:9" ht="13.2">
      <c r="B504" s="367" t="s">
        <v>269</v>
      </c>
      <c r="C504" s="74" t="s">
        <v>181</v>
      </c>
      <c r="D504" s="75"/>
      <c r="E504" s="97" t="s">
        <v>139</v>
      </c>
      <c r="F504" s="62" t="s">
        <v>13</v>
      </c>
      <c r="G504" s="62" t="s">
        <v>13</v>
      </c>
      <c r="H504" s="69" t="s">
        <v>13</v>
      </c>
      <c r="I504" s="65" t="s">
        <v>13</v>
      </c>
    </row>
    <row r="505" spans="2:9" ht="22.8">
      <c r="B505" s="368" t="s">
        <v>270</v>
      </c>
      <c r="C505" s="98"/>
      <c r="D505" s="99"/>
      <c r="E505" s="100" t="s">
        <v>140</v>
      </c>
      <c r="F505" s="62" t="s">
        <v>17</v>
      </c>
      <c r="G505" s="68">
        <f>4.4*4</f>
        <v>17.600000000000001</v>
      </c>
      <c r="H505" s="69">
        <f t="shared" si="68"/>
        <v>0</v>
      </c>
      <c r="I505" s="70">
        <f>ROUND($G505*H505,2)</f>
        <v>0</v>
      </c>
    </row>
    <row r="506" spans="2:9" ht="22.8">
      <c r="B506" s="368" t="s">
        <v>271</v>
      </c>
      <c r="C506" s="101"/>
      <c r="D506" s="102"/>
      <c r="E506" s="100" t="s">
        <v>141</v>
      </c>
      <c r="F506" s="62" t="s">
        <v>17</v>
      </c>
      <c r="G506" s="68">
        <f>0.08*(11.7+11.7)</f>
        <v>1.87</v>
      </c>
      <c r="H506" s="69">
        <f t="shared" si="68"/>
        <v>0</v>
      </c>
      <c r="I506" s="70">
        <f>ROUND($G506*H506,2)</f>
        <v>0</v>
      </c>
    </row>
    <row r="507" spans="2:9" ht="13.2">
      <c r="B507" s="369"/>
      <c r="C507" s="103"/>
      <c r="D507" s="104"/>
      <c r="E507" s="87" t="s">
        <v>43</v>
      </c>
      <c r="F507" s="62" t="s">
        <v>153</v>
      </c>
      <c r="G507" s="117"/>
      <c r="H507"/>
      <c r="I507" s="182" t="s">
        <v>13</v>
      </c>
    </row>
    <row r="508" spans="2:9" ht="13.2">
      <c r="B508" s="367" t="s">
        <v>272</v>
      </c>
      <c r="C508" s="375" t="s">
        <v>200</v>
      </c>
      <c r="D508" s="374"/>
      <c r="E508" s="376" t="s">
        <v>44</v>
      </c>
      <c r="F508" s="377"/>
      <c r="G508" s="383"/>
      <c r="H508" s="382"/>
      <c r="I508" s="380"/>
    </row>
    <row r="509" spans="2:9" ht="24">
      <c r="B509" s="367"/>
      <c r="C509" s="71"/>
      <c r="D509" s="72"/>
      <c r="E509" s="73" t="s">
        <v>241</v>
      </c>
      <c r="F509" s="30"/>
      <c r="G509" s="211"/>
      <c r="H509"/>
      <c r="I509" s="32"/>
    </row>
    <row r="510" spans="2:9" ht="13.2">
      <c r="B510" s="367" t="s">
        <v>273</v>
      </c>
      <c r="C510" s="74" t="s">
        <v>167</v>
      </c>
      <c r="D510" s="74"/>
      <c r="E510" s="90" t="s">
        <v>132</v>
      </c>
      <c r="F510" s="62" t="s">
        <v>13</v>
      </c>
      <c r="G510" s="81" t="s">
        <v>13</v>
      </c>
      <c r="H510" s="69" t="s">
        <v>13</v>
      </c>
      <c r="I510" s="65" t="s">
        <v>13</v>
      </c>
    </row>
    <row r="511" spans="2:9" ht="22.8">
      <c r="B511" s="368" t="s">
        <v>330</v>
      </c>
      <c r="C511" s="106"/>
      <c r="D511" s="106"/>
      <c r="E511" s="67" t="s">
        <v>159</v>
      </c>
      <c r="F511" s="62" t="s">
        <v>23</v>
      </c>
      <c r="G511" s="68">
        <v>358</v>
      </c>
      <c r="H511" s="69">
        <f t="shared" si="68"/>
        <v>0</v>
      </c>
      <c r="I511" s="70">
        <f>ROUND($G511*H511,2)</f>
        <v>0</v>
      </c>
    </row>
    <row r="512" spans="2:9" ht="34.200000000000003">
      <c r="B512" s="368" t="s">
        <v>339</v>
      </c>
      <c r="C512" s="106"/>
      <c r="D512" s="106"/>
      <c r="E512" s="67" t="s">
        <v>358</v>
      </c>
      <c r="F512" s="62" t="s">
        <v>23</v>
      </c>
      <c r="G512" s="68">
        <v>640.20000000000005</v>
      </c>
      <c r="H512" s="69">
        <f t="shared" si="68"/>
        <v>0</v>
      </c>
      <c r="I512" s="70">
        <f>ROUND($G512*H512,2)</f>
        <v>0</v>
      </c>
    </row>
    <row r="513" spans="2:9" ht="22.8">
      <c r="B513" s="368" t="s">
        <v>341</v>
      </c>
      <c r="C513" s="106"/>
      <c r="D513" s="106" t="s">
        <v>120</v>
      </c>
      <c r="E513" s="67" t="s">
        <v>340</v>
      </c>
      <c r="F513" s="62" t="s">
        <v>4</v>
      </c>
      <c r="G513" s="68">
        <v>4.8</v>
      </c>
      <c r="H513" s="69">
        <f t="shared" si="68"/>
        <v>0</v>
      </c>
      <c r="I513" s="70">
        <f>ROUND($G513*H513,2)</f>
        <v>0</v>
      </c>
    </row>
    <row r="514" spans="2:9" ht="34.200000000000003">
      <c r="B514" s="368" t="s">
        <v>342</v>
      </c>
      <c r="C514" s="106"/>
      <c r="D514" s="101"/>
      <c r="E514" s="67" t="s">
        <v>377</v>
      </c>
      <c r="F514" s="62" t="s">
        <v>4</v>
      </c>
      <c r="G514" s="68">
        <v>33.9</v>
      </c>
      <c r="H514" s="69">
        <f t="shared" si="68"/>
        <v>0</v>
      </c>
      <c r="I514" s="70">
        <f>ROUND($G514*H514,2)</f>
        <v>0</v>
      </c>
    </row>
    <row r="515" spans="2:9" ht="13.2">
      <c r="B515" s="372" t="s">
        <v>343</v>
      </c>
      <c r="C515" s="74" t="s">
        <v>354</v>
      </c>
      <c r="D515" s="106"/>
      <c r="E515" s="67" t="s">
        <v>494</v>
      </c>
      <c r="F515" s="62" t="s">
        <v>13</v>
      </c>
      <c r="G515" s="81" t="s">
        <v>13</v>
      </c>
      <c r="H515" s="69" t="s">
        <v>13</v>
      </c>
      <c r="I515" s="65" t="s">
        <v>13</v>
      </c>
    </row>
    <row r="516" spans="2:9" ht="13.2">
      <c r="B516" s="368" t="s">
        <v>274</v>
      </c>
      <c r="C516" s="106"/>
      <c r="D516" s="101"/>
      <c r="E516" s="67" t="s">
        <v>426</v>
      </c>
      <c r="F516" s="62" t="s">
        <v>344</v>
      </c>
      <c r="G516" s="68">
        <v>0.64</v>
      </c>
      <c r="H516" s="69">
        <f t="shared" si="68"/>
        <v>0</v>
      </c>
      <c r="I516" s="70">
        <f>ROUND($G516*H516,2)</f>
        <v>0</v>
      </c>
    </row>
    <row r="517" spans="2:9" ht="22.8">
      <c r="B517" s="372" t="s">
        <v>346</v>
      </c>
      <c r="C517" s="74" t="s">
        <v>355</v>
      </c>
      <c r="D517" s="106"/>
      <c r="E517" s="67" t="s">
        <v>495</v>
      </c>
      <c r="F517" s="62" t="s">
        <v>13</v>
      </c>
      <c r="G517" s="81" t="s">
        <v>13</v>
      </c>
      <c r="H517" s="69" t="s">
        <v>13</v>
      </c>
      <c r="I517" s="65" t="s">
        <v>13</v>
      </c>
    </row>
    <row r="518" spans="2:9" ht="22.8">
      <c r="B518" s="368" t="s">
        <v>347</v>
      </c>
      <c r="C518" s="106"/>
      <c r="D518" s="101"/>
      <c r="E518" s="67" t="s">
        <v>154</v>
      </c>
      <c r="F518" s="62" t="s">
        <v>348</v>
      </c>
      <c r="G518" s="68">
        <v>103.6</v>
      </c>
      <c r="H518" s="69">
        <f t="shared" si="68"/>
        <v>0</v>
      </c>
      <c r="I518" s="70">
        <f>ROUND($G518*H518,2)</f>
        <v>0</v>
      </c>
    </row>
    <row r="519" spans="2:9" ht="13.2">
      <c r="B519" s="372" t="s">
        <v>349</v>
      </c>
      <c r="C519" s="74" t="s">
        <v>496</v>
      </c>
      <c r="D519" s="106"/>
      <c r="E519" s="67" t="s">
        <v>350</v>
      </c>
      <c r="F519" s="62" t="s">
        <v>13</v>
      </c>
      <c r="G519" s="81" t="s">
        <v>13</v>
      </c>
      <c r="H519" s="69" t="s">
        <v>13</v>
      </c>
      <c r="I519" s="65" t="s">
        <v>13</v>
      </c>
    </row>
    <row r="520" spans="2:9" ht="22.8">
      <c r="B520" s="368" t="s">
        <v>351</v>
      </c>
      <c r="C520" s="106"/>
      <c r="D520" s="106"/>
      <c r="E520" s="67" t="s">
        <v>352</v>
      </c>
      <c r="F520" s="62" t="s">
        <v>344</v>
      </c>
      <c r="G520" s="68">
        <v>0.64</v>
      </c>
      <c r="H520" s="69">
        <f t="shared" si="68"/>
        <v>0</v>
      </c>
      <c r="I520" s="70">
        <f>ROUND($G520*H520,2)</f>
        <v>0</v>
      </c>
    </row>
    <row r="521" spans="2:9" ht="13.2">
      <c r="B521" s="369"/>
      <c r="C521" s="12"/>
      <c r="D521" s="25"/>
      <c r="E521" s="87" t="s">
        <v>46</v>
      </c>
      <c r="F521" s="13" t="s">
        <v>153</v>
      </c>
      <c r="G521" s="210"/>
      <c r="H521"/>
      <c r="I521" s="182" t="s">
        <v>13</v>
      </c>
    </row>
    <row r="522" spans="2:9" ht="13.2">
      <c r="B522" s="367" t="s">
        <v>275</v>
      </c>
      <c r="C522" s="375" t="s">
        <v>201</v>
      </c>
      <c r="D522" s="374"/>
      <c r="E522" s="407" t="s">
        <v>380</v>
      </c>
      <c r="F522" s="377"/>
      <c r="G522" s="383"/>
      <c r="H522" s="382"/>
      <c r="I522" s="380"/>
    </row>
    <row r="523" spans="2:9" ht="24">
      <c r="B523" s="367"/>
      <c r="C523" s="71"/>
      <c r="D523" s="72"/>
      <c r="E523" s="73" t="s">
        <v>241</v>
      </c>
      <c r="F523" s="30"/>
      <c r="G523" s="208"/>
      <c r="H523"/>
      <c r="I523" s="32"/>
    </row>
    <row r="524" spans="2:9" ht="13.2">
      <c r="B524" s="367" t="s">
        <v>276</v>
      </c>
      <c r="C524" s="60" t="s">
        <v>182</v>
      </c>
      <c r="D524" s="60"/>
      <c r="E524" s="90" t="s">
        <v>49</v>
      </c>
      <c r="F524" s="62" t="s">
        <v>13</v>
      </c>
      <c r="G524" s="62" t="s">
        <v>13</v>
      </c>
      <c r="H524" s="69" t="s">
        <v>13</v>
      </c>
      <c r="I524" s="65" t="s">
        <v>13</v>
      </c>
    </row>
    <row r="525" spans="2:9" ht="34.200000000000003">
      <c r="B525" s="368" t="s">
        <v>277</v>
      </c>
      <c r="C525" s="66"/>
      <c r="D525" s="66"/>
      <c r="E525" s="110" t="s">
        <v>207</v>
      </c>
      <c r="F525" s="62" t="s">
        <v>15</v>
      </c>
      <c r="G525" s="68">
        <v>490</v>
      </c>
      <c r="H525" s="69">
        <f t="shared" si="68"/>
        <v>0</v>
      </c>
      <c r="I525" s="70">
        <f>ROUND($G525*H525,2)</f>
        <v>0</v>
      </c>
    </row>
    <row r="526" spans="2:9" ht="45.6">
      <c r="B526" s="368" t="s">
        <v>278</v>
      </c>
      <c r="C526" s="83"/>
      <c r="D526" s="83"/>
      <c r="E526" s="92" t="s">
        <v>149</v>
      </c>
      <c r="F526" s="62" t="s">
        <v>15</v>
      </c>
      <c r="G526" s="68">
        <v>15</v>
      </c>
      <c r="H526" s="69">
        <f t="shared" si="68"/>
        <v>0</v>
      </c>
      <c r="I526" s="70">
        <f>ROUND($G526*H526,2)</f>
        <v>0</v>
      </c>
    </row>
    <row r="527" spans="2:9" ht="13.2">
      <c r="B527" s="367" t="s">
        <v>279</v>
      </c>
      <c r="C527" s="74" t="s">
        <v>168</v>
      </c>
      <c r="D527" s="74"/>
      <c r="E527" s="90" t="s">
        <v>155</v>
      </c>
      <c r="F527" s="81" t="s">
        <v>13</v>
      </c>
      <c r="G527" s="81" t="s">
        <v>13</v>
      </c>
      <c r="H527" s="69" t="s">
        <v>13</v>
      </c>
      <c r="I527" s="65" t="s">
        <v>13</v>
      </c>
    </row>
    <row r="528" spans="2:9" ht="22.8">
      <c r="B528" s="368" t="s">
        <v>280</v>
      </c>
      <c r="C528" s="103"/>
      <c r="D528" s="103"/>
      <c r="E528" s="110" t="s">
        <v>209</v>
      </c>
      <c r="F528" s="62" t="s">
        <v>15</v>
      </c>
      <c r="G528" s="68">
        <f>(5.9+0.5)*13.5*2</f>
        <v>172.8</v>
      </c>
      <c r="H528" s="69">
        <f t="shared" si="68"/>
        <v>0</v>
      </c>
      <c r="I528" s="70">
        <f>ROUND($G528*H528,2)</f>
        <v>0</v>
      </c>
    </row>
    <row r="529" spans="2:9" ht="13.2">
      <c r="B529" s="368" t="s">
        <v>281</v>
      </c>
      <c r="C529" s="101"/>
      <c r="D529" s="101"/>
      <c r="E529" s="90" t="s">
        <v>150</v>
      </c>
      <c r="F529" s="62" t="s">
        <v>15</v>
      </c>
      <c r="G529" s="68">
        <v>6</v>
      </c>
      <c r="H529" s="69">
        <f t="shared" si="68"/>
        <v>0</v>
      </c>
      <c r="I529" s="70">
        <f>ROUND($G529*H529,2)</f>
        <v>0</v>
      </c>
    </row>
    <row r="530" spans="2:9" ht="13.2">
      <c r="B530" s="367" t="s">
        <v>282</v>
      </c>
      <c r="C530" s="74" t="s">
        <v>183</v>
      </c>
      <c r="D530" s="74"/>
      <c r="E530" s="90" t="s">
        <v>54</v>
      </c>
      <c r="F530" s="81" t="s">
        <v>13</v>
      </c>
      <c r="G530" s="81" t="s">
        <v>13</v>
      </c>
      <c r="H530" s="69" t="s">
        <v>13</v>
      </c>
      <c r="I530" s="65" t="s">
        <v>13</v>
      </c>
    </row>
    <row r="531" spans="2:9" ht="22.8">
      <c r="B531" s="368" t="s">
        <v>283</v>
      </c>
      <c r="C531" s="98"/>
      <c r="D531" s="98"/>
      <c r="E531" s="92" t="s">
        <v>156</v>
      </c>
      <c r="F531" s="62" t="s">
        <v>15</v>
      </c>
      <c r="G531" s="68">
        <f>1.15*11.3*2</f>
        <v>25.99</v>
      </c>
      <c r="H531" s="69">
        <f t="shared" si="68"/>
        <v>0</v>
      </c>
      <c r="I531" s="70">
        <f>ROUND($G531*H531,2)</f>
        <v>0</v>
      </c>
    </row>
    <row r="532" spans="2:9" ht="13.2">
      <c r="B532" s="367" t="s">
        <v>284</v>
      </c>
      <c r="C532" s="74" t="s">
        <v>184</v>
      </c>
      <c r="D532" s="74"/>
      <c r="E532" s="90" t="s">
        <v>121</v>
      </c>
      <c r="F532" s="81" t="s">
        <v>13</v>
      </c>
      <c r="G532" s="81" t="s">
        <v>13</v>
      </c>
      <c r="H532" s="69" t="s">
        <v>13</v>
      </c>
      <c r="I532" s="49" t="s">
        <v>13</v>
      </c>
    </row>
    <row r="533" spans="2:9" ht="22.8">
      <c r="B533" s="368" t="s">
        <v>285</v>
      </c>
      <c r="C533" s="98"/>
      <c r="D533" s="98"/>
      <c r="E533" s="111" t="s">
        <v>122</v>
      </c>
      <c r="F533" s="83" t="s">
        <v>15</v>
      </c>
      <c r="G533" s="68">
        <f>(11.3+0.2)*11.52</f>
        <v>132.47999999999999</v>
      </c>
      <c r="H533" s="69">
        <f t="shared" si="68"/>
        <v>0</v>
      </c>
      <c r="I533" s="70">
        <f>ROUND($G533*H533,2)</f>
        <v>0</v>
      </c>
    </row>
    <row r="534" spans="2:9" ht="13.2">
      <c r="B534" s="367" t="s">
        <v>286</v>
      </c>
      <c r="C534" s="74" t="s">
        <v>185</v>
      </c>
      <c r="D534" s="74"/>
      <c r="E534" s="90" t="s">
        <v>151</v>
      </c>
      <c r="F534" s="81" t="s">
        <v>13</v>
      </c>
      <c r="G534" s="81" t="s">
        <v>13</v>
      </c>
      <c r="H534" s="69" t="s">
        <v>13</v>
      </c>
      <c r="I534" s="65" t="s">
        <v>13</v>
      </c>
    </row>
    <row r="535" spans="2:9" ht="22.8">
      <c r="B535" s="368" t="s">
        <v>287</v>
      </c>
      <c r="C535" s="98"/>
      <c r="D535" s="98"/>
      <c r="E535" s="90" t="s">
        <v>152</v>
      </c>
      <c r="F535" s="83" t="s">
        <v>15</v>
      </c>
      <c r="G535" s="68">
        <f>(3.1+9.1+12.1+4.9)*1*1.4</f>
        <v>40.880000000000003</v>
      </c>
      <c r="H535" s="69">
        <f t="shared" si="68"/>
        <v>0</v>
      </c>
      <c r="I535" s="70">
        <f>ROUND($G535*H535,2)</f>
        <v>0</v>
      </c>
    </row>
    <row r="536" spans="2:9" ht="13.2">
      <c r="B536" s="369"/>
      <c r="C536" s="12"/>
      <c r="D536" s="25"/>
      <c r="E536" s="87" t="s">
        <v>58</v>
      </c>
      <c r="F536" s="13" t="s">
        <v>153</v>
      </c>
      <c r="G536" s="210"/>
      <c r="H536"/>
      <c r="I536" s="182" t="s">
        <v>13</v>
      </c>
    </row>
    <row r="537" spans="2:9" ht="13.2">
      <c r="B537" s="367" t="s">
        <v>288</v>
      </c>
      <c r="C537" s="385" t="s">
        <v>186</v>
      </c>
      <c r="D537" s="386"/>
      <c r="E537" s="387" t="s">
        <v>81</v>
      </c>
      <c r="F537" s="388"/>
      <c r="G537" s="383"/>
      <c r="H537" s="382"/>
      <c r="I537" s="380"/>
    </row>
    <row r="538" spans="2:9" ht="24">
      <c r="B538" s="367"/>
      <c r="C538" s="71"/>
      <c r="D538" s="72"/>
      <c r="E538" s="73" t="s">
        <v>241</v>
      </c>
      <c r="F538" s="30"/>
      <c r="G538" s="212"/>
      <c r="H538"/>
      <c r="I538" s="113"/>
    </row>
    <row r="539" spans="2:9" ht="13.2">
      <c r="B539" s="367" t="s">
        <v>289</v>
      </c>
      <c r="C539" s="74" t="s">
        <v>187</v>
      </c>
      <c r="D539" s="74"/>
      <c r="E539" s="61" t="s">
        <v>360</v>
      </c>
      <c r="F539" s="62" t="s">
        <v>13</v>
      </c>
      <c r="G539" s="114" t="s">
        <v>13</v>
      </c>
      <c r="H539" s="69" t="s">
        <v>13</v>
      </c>
      <c r="I539" s="65" t="s">
        <v>13</v>
      </c>
    </row>
    <row r="540" spans="2:9" ht="22.8">
      <c r="B540" s="368" t="s">
        <v>290</v>
      </c>
      <c r="C540" s="115"/>
      <c r="D540" s="115"/>
      <c r="E540" s="67" t="s">
        <v>84</v>
      </c>
      <c r="F540" s="62" t="s">
        <v>4</v>
      </c>
      <c r="G540" s="68">
        <f>11.6+4.9+7.1+1.2</f>
        <v>24.8</v>
      </c>
      <c r="H540" s="69">
        <f t="shared" si="68"/>
        <v>0</v>
      </c>
      <c r="I540" s="70">
        <f>ROUND($G540*H540,2)</f>
        <v>0</v>
      </c>
    </row>
    <row r="541" spans="2:9" ht="22.8">
      <c r="B541" s="368" t="s">
        <v>291</v>
      </c>
      <c r="C541" s="115"/>
      <c r="D541" s="115"/>
      <c r="E541" s="116" t="s">
        <v>157</v>
      </c>
      <c r="F541" s="62" t="s">
        <v>3</v>
      </c>
      <c r="G541" s="68">
        <f>1+1+1+1</f>
        <v>4</v>
      </c>
      <c r="H541" s="69">
        <f t="shared" si="68"/>
        <v>0</v>
      </c>
      <c r="I541" s="70">
        <f>ROUND($G541*H541,2)</f>
        <v>0</v>
      </c>
    </row>
    <row r="542" spans="2:9" ht="13.2">
      <c r="B542" s="369"/>
      <c r="C542" s="73"/>
      <c r="D542" s="118"/>
      <c r="E542" s="112" t="s">
        <v>85</v>
      </c>
      <c r="F542" s="13" t="s">
        <v>153</v>
      </c>
      <c r="G542" s="213"/>
      <c r="H542"/>
      <c r="I542" s="182" t="s">
        <v>13</v>
      </c>
    </row>
    <row r="543" spans="2:9" ht="13.2">
      <c r="B543" s="367" t="s">
        <v>292</v>
      </c>
      <c r="C543" s="375" t="s">
        <v>188</v>
      </c>
      <c r="D543" s="374"/>
      <c r="E543" s="376" t="s">
        <v>59</v>
      </c>
      <c r="F543" s="377"/>
      <c r="G543" s="383"/>
      <c r="H543" s="382"/>
      <c r="I543" s="380"/>
    </row>
    <row r="544" spans="2:9" ht="24">
      <c r="B544" s="367"/>
      <c r="C544" s="71"/>
      <c r="D544" s="72"/>
      <c r="E544" s="73" t="s">
        <v>241</v>
      </c>
      <c r="F544" s="30"/>
      <c r="G544" s="208"/>
      <c r="H544"/>
      <c r="I544" s="32"/>
    </row>
    <row r="545" spans="2:9" ht="13.2">
      <c r="B545" s="367" t="s">
        <v>293</v>
      </c>
      <c r="C545" s="120" t="s">
        <v>189</v>
      </c>
      <c r="D545" s="121"/>
      <c r="E545" s="122" t="s">
        <v>60</v>
      </c>
      <c r="F545" s="62" t="s">
        <v>13</v>
      </c>
      <c r="G545" s="62" t="s">
        <v>13</v>
      </c>
      <c r="H545" s="69" t="s">
        <v>13</v>
      </c>
      <c r="I545" s="65" t="s">
        <v>13</v>
      </c>
    </row>
    <row r="546" spans="2:9" ht="57">
      <c r="B546" s="368" t="s">
        <v>294</v>
      </c>
      <c r="C546" s="123"/>
      <c r="D546" s="124"/>
      <c r="E546" s="80" t="s">
        <v>123</v>
      </c>
      <c r="F546" s="81" t="s">
        <v>4</v>
      </c>
      <c r="G546" s="68">
        <f>11.3</f>
        <v>11.3</v>
      </c>
      <c r="H546" s="69">
        <f t="shared" ref="H546:H584" si="69">L546*$K$5</f>
        <v>0</v>
      </c>
      <c r="I546" s="70">
        <f>ROUND($G546*H546,2)</f>
        <v>0</v>
      </c>
    </row>
    <row r="547" spans="2:9" ht="34.200000000000003">
      <c r="B547" s="368" t="s">
        <v>295</v>
      </c>
      <c r="C547" s="123"/>
      <c r="D547" s="124"/>
      <c r="E547" s="80" t="s">
        <v>124</v>
      </c>
      <c r="F547" s="81" t="s">
        <v>4</v>
      </c>
      <c r="G547" s="68">
        <f>5.9*2</f>
        <v>11.8</v>
      </c>
      <c r="H547" s="69">
        <f t="shared" si="69"/>
        <v>0</v>
      </c>
      <c r="I547" s="70">
        <f>ROUND($G547*H547,2)</f>
        <v>0</v>
      </c>
    </row>
    <row r="548" spans="2:9" ht="34.200000000000003">
      <c r="B548" s="368" t="s">
        <v>296</v>
      </c>
      <c r="C548" s="125"/>
      <c r="D548" s="126"/>
      <c r="E548" s="127" t="s">
        <v>144</v>
      </c>
      <c r="F548" s="128" t="s">
        <v>4</v>
      </c>
      <c r="G548" s="68">
        <f>5.93*4</f>
        <v>23.72</v>
      </c>
      <c r="H548" s="69">
        <f t="shared" si="69"/>
        <v>0</v>
      </c>
      <c r="I548" s="70">
        <f>ROUND($G548*H548,2)</f>
        <v>0</v>
      </c>
    </row>
    <row r="549" spans="2:9" ht="13.2">
      <c r="B549" s="369"/>
      <c r="C549" s="129"/>
      <c r="D549" s="130"/>
      <c r="E549" s="87" t="s">
        <v>61</v>
      </c>
      <c r="F549" s="13" t="s">
        <v>153</v>
      </c>
      <c r="G549" s="213"/>
      <c r="H549"/>
      <c r="I549" s="182" t="s">
        <v>13</v>
      </c>
    </row>
    <row r="550" spans="2:9" ht="13.2">
      <c r="B550" s="367" t="s">
        <v>297</v>
      </c>
      <c r="C550" s="375" t="s">
        <v>190</v>
      </c>
      <c r="D550" s="374"/>
      <c r="E550" s="376" t="s">
        <v>62</v>
      </c>
      <c r="F550" s="377"/>
      <c r="G550" s="383"/>
      <c r="H550" s="382"/>
      <c r="I550" s="380"/>
    </row>
    <row r="551" spans="2:9" ht="24">
      <c r="B551" s="367"/>
      <c r="C551" s="71"/>
      <c r="D551" s="72"/>
      <c r="E551" s="73" t="s">
        <v>241</v>
      </c>
      <c r="F551" s="30"/>
      <c r="G551" s="208"/>
      <c r="H551"/>
      <c r="I551" s="32"/>
    </row>
    <row r="552" spans="2:9" ht="13.2">
      <c r="B552" s="367" t="s">
        <v>298</v>
      </c>
      <c r="C552" s="60" t="s">
        <v>191</v>
      </c>
      <c r="D552" s="60"/>
      <c r="E552" s="90" t="s">
        <v>244</v>
      </c>
      <c r="F552" s="62" t="s">
        <v>13</v>
      </c>
      <c r="G552" s="62" t="s">
        <v>13</v>
      </c>
      <c r="H552" s="69" t="s">
        <v>13</v>
      </c>
      <c r="I552" s="65" t="s">
        <v>13</v>
      </c>
    </row>
    <row r="553" spans="2:9" ht="22.8">
      <c r="B553" s="368" t="s">
        <v>299</v>
      </c>
      <c r="C553" s="66"/>
      <c r="D553" s="66"/>
      <c r="E553" s="131" t="s">
        <v>245</v>
      </c>
      <c r="F553" s="132" t="s">
        <v>23</v>
      </c>
      <c r="G553" s="68">
        <v>461</v>
      </c>
      <c r="H553" s="69">
        <f t="shared" si="69"/>
        <v>0</v>
      </c>
      <c r="I553" s="70">
        <f>ROUND($G553*H553,2)</f>
        <v>0</v>
      </c>
    </row>
    <row r="554" spans="2:9" ht="22.8">
      <c r="B554" s="368" t="s">
        <v>300</v>
      </c>
      <c r="C554" s="66"/>
      <c r="D554" s="66"/>
      <c r="E554" s="133" t="s">
        <v>246</v>
      </c>
      <c r="F554" s="132" t="s">
        <v>23</v>
      </c>
      <c r="G554" s="68">
        <v>584</v>
      </c>
      <c r="H554" s="69">
        <f t="shared" si="69"/>
        <v>0</v>
      </c>
      <c r="I554" s="70">
        <f>ROUND($G554*H554,2)</f>
        <v>0</v>
      </c>
    </row>
    <row r="555" spans="2:9" ht="13.2">
      <c r="B555" s="369"/>
      <c r="C555" s="12"/>
      <c r="D555" s="25"/>
      <c r="E555" s="87" t="s">
        <v>63</v>
      </c>
      <c r="F555" s="13"/>
      <c r="G555" s="214"/>
      <c r="H555"/>
      <c r="I555" s="182" t="s">
        <v>13</v>
      </c>
    </row>
    <row r="556" spans="2:9" ht="13.2">
      <c r="B556" s="367" t="s">
        <v>301</v>
      </c>
      <c r="C556" s="375" t="s">
        <v>192</v>
      </c>
      <c r="D556" s="374"/>
      <c r="E556" s="376" t="s">
        <v>64</v>
      </c>
      <c r="F556" s="377"/>
      <c r="G556" s="383"/>
      <c r="H556" s="382"/>
      <c r="I556" s="380"/>
    </row>
    <row r="557" spans="2:9" ht="24">
      <c r="B557" s="367"/>
      <c r="C557" s="71"/>
      <c r="D557" s="72"/>
      <c r="E557" s="73" t="s">
        <v>241</v>
      </c>
      <c r="F557" s="30"/>
      <c r="G557" s="208"/>
      <c r="I557" s="32"/>
    </row>
    <row r="558" spans="2:9" ht="13.2">
      <c r="B558" s="367" t="s">
        <v>302</v>
      </c>
      <c r="C558" s="60" t="s">
        <v>193</v>
      </c>
      <c r="D558" s="60"/>
      <c r="E558" s="135" t="s">
        <v>66</v>
      </c>
      <c r="F558" s="136" t="s">
        <v>13</v>
      </c>
      <c r="G558" s="136" t="s">
        <v>13</v>
      </c>
      <c r="H558" s="69" t="s">
        <v>13</v>
      </c>
      <c r="I558" s="65" t="s">
        <v>13</v>
      </c>
    </row>
    <row r="559" spans="2:9" ht="22.8">
      <c r="B559" s="368" t="s">
        <v>303</v>
      </c>
      <c r="C559" s="83"/>
      <c r="D559" s="83"/>
      <c r="E559" s="116" t="s">
        <v>158</v>
      </c>
      <c r="F559" s="137" t="s">
        <v>16</v>
      </c>
      <c r="G559" s="68">
        <f>5.9*12.85*2</f>
        <v>151.63</v>
      </c>
      <c r="H559" s="69">
        <f t="shared" si="69"/>
        <v>0</v>
      </c>
      <c r="I559" s="70">
        <f>ROUND($G559*H559,2)</f>
        <v>0</v>
      </c>
    </row>
    <row r="560" spans="2:9" ht="13.2">
      <c r="B560" s="367" t="s">
        <v>304</v>
      </c>
      <c r="C560" s="74" t="s">
        <v>194</v>
      </c>
      <c r="D560" s="74"/>
      <c r="E560" s="135" t="s">
        <v>68</v>
      </c>
      <c r="F560" s="136" t="s">
        <v>13</v>
      </c>
      <c r="G560" s="136" t="s">
        <v>13</v>
      </c>
      <c r="H560" s="69" t="s">
        <v>13</v>
      </c>
      <c r="I560" s="65" t="s">
        <v>13</v>
      </c>
    </row>
    <row r="561" spans="2:9" ht="34.799999999999997">
      <c r="B561" s="368" t="s">
        <v>305</v>
      </c>
      <c r="C561" s="98"/>
      <c r="D561" s="98"/>
      <c r="E561" s="116" t="s">
        <v>208</v>
      </c>
      <c r="F561" s="136" t="s">
        <v>4</v>
      </c>
      <c r="G561" s="68">
        <f>11.8+11.8</f>
        <v>23.6</v>
      </c>
      <c r="H561" s="69">
        <f t="shared" si="69"/>
        <v>0</v>
      </c>
      <c r="I561" s="70">
        <f>ROUND($G561*H561,2)</f>
        <v>0</v>
      </c>
    </row>
    <row r="562" spans="2:9" ht="13.2">
      <c r="B562" s="368" t="s">
        <v>306</v>
      </c>
      <c r="C562" s="101"/>
      <c r="D562" s="103"/>
      <c r="E562" s="138" t="s">
        <v>133</v>
      </c>
      <c r="F562" s="136" t="s">
        <v>3</v>
      </c>
      <c r="G562" s="117">
        <f>1+1</f>
        <v>2</v>
      </c>
      <c r="H562"/>
      <c r="I562" s="70">
        <f>ROUND($G562*H562,2)</f>
        <v>0</v>
      </c>
    </row>
    <row r="563" spans="2:9" ht="13.2">
      <c r="B563" s="367" t="s">
        <v>307</v>
      </c>
      <c r="C563" s="74" t="s">
        <v>169</v>
      </c>
      <c r="D563" s="75"/>
      <c r="E563" s="122" t="s">
        <v>69</v>
      </c>
      <c r="F563" s="62" t="s">
        <v>13</v>
      </c>
      <c r="G563" s="62" t="s">
        <v>13</v>
      </c>
      <c r="H563" s="69" t="s">
        <v>13</v>
      </c>
      <c r="I563" s="65" t="s">
        <v>13</v>
      </c>
    </row>
    <row r="564" spans="2:9" ht="34.200000000000003">
      <c r="B564" s="368" t="s">
        <v>308</v>
      </c>
      <c r="C564" s="98"/>
      <c r="D564" s="99"/>
      <c r="E564" s="80" t="s">
        <v>161</v>
      </c>
      <c r="F564" s="81" t="s">
        <v>16</v>
      </c>
      <c r="G564" s="68">
        <f>3.14*6.76*(6.65+1)/4+(6.76*1.8-0.96*6.76)+5.1*1.7+4.7*3.8+8.2*3.9+3.14*7.39*(6.9+0.75)/2.7+(3.6*6.1-0.96*3.6)</f>
        <v>189.03</v>
      </c>
      <c r="H564" s="69">
        <f t="shared" si="69"/>
        <v>0</v>
      </c>
      <c r="I564" s="70">
        <f>ROUND($G564*H564,2)</f>
        <v>0</v>
      </c>
    </row>
    <row r="565" spans="2:9" ht="22.8">
      <c r="B565" s="368" t="s">
        <v>309</v>
      </c>
      <c r="C565" s="98"/>
      <c r="D565" s="99"/>
      <c r="E565" s="80" t="s">
        <v>70</v>
      </c>
      <c r="F565" s="62" t="s">
        <v>4</v>
      </c>
      <c r="G565" s="68">
        <f>(1.55+0.9+6.75)+(3.9+5.6+4.3)+(7.2+15.2)+(3.2+2.5+3.6)</f>
        <v>54.7</v>
      </c>
      <c r="H565" s="69">
        <f t="shared" si="69"/>
        <v>0</v>
      </c>
      <c r="I565" s="70">
        <f>ROUND($G565*H565,2)</f>
        <v>0</v>
      </c>
    </row>
    <row r="566" spans="2:9" ht="22.8">
      <c r="B566" s="368" t="s">
        <v>310</v>
      </c>
      <c r="C566" s="98"/>
      <c r="D566" s="98"/>
      <c r="E566" s="139" t="s">
        <v>142</v>
      </c>
      <c r="F566" s="62" t="s">
        <v>4</v>
      </c>
      <c r="G566" s="68">
        <f>16.4+5.5+17.9+4.5</f>
        <v>44.3</v>
      </c>
      <c r="H566" s="69">
        <f t="shared" si="69"/>
        <v>0</v>
      </c>
      <c r="I566" s="70">
        <f>ROUND($G566*H566,2)</f>
        <v>0</v>
      </c>
    </row>
    <row r="567" spans="2:9" ht="13.2">
      <c r="B567" s="367" t="s">
        <v>311</v>
      </c>
      <c r="C567" s="60" t="s">
        <v>195</v>
      </c>
      <c r="D567" s="60"/>
      <c r="E567" s="90" t="s">
        <v>71</v>
      </c>
      <c r="F567" s="140" t="s">
        <v>13</v>
      </c>
      <c r="G567" s="140" t="s">
        <v>13</v>
      </c>
      <c r="H567" s="69" t="s">
        <v>13</v>
      </c>
      <c r="I567" s="65" t="s">
        <v>13</v>
      </c>
    </row>
    <row r="568" spans="2:9" ht="57">
      <c r="B568" s="368" t="s">
        <v>312</v>
      </c>
      <c r="C568" s="66"/>
      <c r="D568" s="66"/>
      <c r="E568" s="141" t="s">
        <v>127</v>
      </c>
      <c r="F568" s="137" t="s">
        <v>16</v>
      </c>
      <c r="G568" s="68">
        <f>16*11.45+1.55*4.3*4+0.7*4</f>
        <v>212.66</v>
      </c>
      <c r="H568" s="69">
        <f t="shared" si="69"/>
        <v>0</v>
      </c>
      <c r="I568" s="70">
        <f>ROUND($G568*H568,2)</f>
        <v>0</v>
      </c>
    </row>
    <row r="569" spans="2:9" ht="45.6">
      <c r="B569" s="368" t="s">
        <v>313</v>
      </c>
      <c r="C569" s="83"/>
      <c r="D569" s="83"/>
      <c r="E569" s="67" t="s">
        <v>125</v>
      </c>
      <c r="F569" s="81" t="s">
        <v>16</v>
      </c>
      <c r="G569" s="68">
        <f>(3.1+9.1+12.1+4.9)*1.66+1.92*11.3*2</f>
        <v>91.86</v>
      </c>
      <c r="H569" s="69">
        <f t="shared" si="69"/>
        <v>0</v>
      </c>
      <c r="I569" s="70">
        <f>ROUND($G569*H569,2)</f>
        <v>0</v>
      </c>
    </row>
    <row r="570" spans="2:9" ht="13.2">
      <c r="B570" s="367" t="s">
        <v>314</v>
      </c>
      <c r="C570" s="60" t="s">
        <v>170</v>
      </c>
      <c r="D570" s="60"/>
      <c r="E570" s="61" t="s">
        <v>72</v>
      </c>
      <c r="F570" s="81" t="s">
        <v>13</v>
      </c>
      <c r="G570" s="143" t="s">
        <v>13</v>
      </c>
      <c r="H570" s="69" t="s">
        <v>13</v>
      </c>
      <c r="I570" s="65" t="s">
        <v>13</v>
      </c>
    </row>
    <row r="571" spans="2:9" ht="34.200000000000003">
      <c r="B571" s="368" t="s">
        <v>315</v>
      </c>
      <c r="C571" s="66"/>
      <c r="D571" s="66"/>
      <c r="E571" s="144" t="s">
        <v>148</v>
      </c>
      <c r="F571" s="81" t="s">
        <v>4</v>
      </c>
      <c r="G571" s="68">
        <f>6.01+3.31+3.31</f>
        <v>12.63</v>
      </c>
      <c r="H571" s="69">
        <f t="shared" si="69"/>
        <v>0</v>
      </c>
      <c r="I571" s="70">
        <f>ROUND($G571*H571,2)</f>
        <v>0</v>
      </c>
    </row>
    <row r="572" spans="2:9" ht="22.8">
      <c r="B572" s="367" t="s">
        <v>316</v>
      </c>
      <c r="C572" s="60" t="s">
        <v>196</v>
      </c>
      <c r="D572" s="60"/>
      <c r="E572" s="145" t="s">
        <v>131</v>
      </c>
      <c r="F572" s="146" t="s">
        <v>13</v>
      </c>
      <c r="G572" s="146" t="s">
        <v>13</v>
      </c>
      <c r="H572" s="69" t="s">
        <v>13</v>
      </c>
      <c r="I572" s="65" t="s">
        <v>13</v>
      </c>
    </row>
    <row r="573" spans="2:9" ht="34.200000000000003">
      <c r="B573" s="368" t="s">
        <v>317</v>
      </c>
      <c r="C573" s="66"/>
      <c r="D573" s="66"/>
      <c r="E573" s="147" t="s">
        <v>206</v>
      </c>
      <c r="F573" s="146" t="s">
        <v>4</v>
      </c>
      <c r="G573" s="68">
        <f>(10+6)*0.5</f>
        <v>8</v>
      </c>
      <c r="H573" s="69">
        <f t="shared" si="69"/>
        <v>0</v>
      </c>
      <c r="I573" s="70">
        <f>ROUND($G573*H573,2)</f>
        <v>0</v>
      </c>
    </row>
    <row r="574" spans="2:9" ht="22.8">
      <c r="B574" s="368" t="s">
        <v>318</v>
      </c>
      <c r="C574" s="66"/>
      <c r="D574" s="66"/>
      <c r="E574" s="147" t="s">
        <v>147</v>
      </c>
      <c r="F574" s="146" t="s">
        <v>4</v>
      </c>
      <c r="G574" s="68">
        <f>7*0.5</f>
        <v>3.5</v>
      </c>
      <c r="H574" s="69">
        <f t="shared" si="69"/>
        <v>0</v>
      </c>
      <c r="I574" s="70">
        <f>ROUND($G574*H574,2)</f>
        <v>0</v>
      </c>
    </row>
    <row r="575" spans="2:9" ht="15.6">
      <c r="B575" s="368" t="s">
        <v>319</v>
      </c>
      <c r="C575" s="66"/>
      <c r="D575" s="66"/>
      <c r="E575" s="147" t="s">
        <v>145</v>
      </c>
      <c r="F575" s="146" t="s">
        <v>76</v>
      </c>
      <c r="G575" s="68">
        <v>2</v>
      </c>
      <c r="H575" s="69">
        <f t="shared" si="69"/>
        <v>0</v>
      </c>
      <c r="I575" s="70">
        <f>ROUND($G575*H575,2)</f>
        <v>0</v>
      </c>
    </row>
    <row r="576" spans="2:9" ht="22.8">
      <c r="B576" s="367" t="s">
        <v>320</v>
      </c>
      <c r="C576" s="74" t="s">
        <v>197</v>
      </c>
      <c r="D576" s="74"/>
      <c r="E576" s="148" t="s">
        <v>73</v>
      </c>
      <c r="F576" s="81" t="s">
        <v>13</v>
      </c>
      <c r="G576" s="81" t="s">
        <v>13</v>
      </c>
      <c r="H576" s="69" t="s">
        <v>13</v>
      </c>
      <c r="I576" s="65" t="s">
        <v>13</v>
      </c>
    </row>
    <row r="577" spans="2:9" ht="13.2">
      <c r="B577" s="368" t="s">
        <v>321</v>
      </c>
      <c r="C577" s="98"/>
      <c r="D577" s="98"/>
      <c r="E577" s="149" t="s">
        <v>74</v>
      </c>
      <c r="F577" s="136" t="s">
        <v>3</v>
      </c>
      <c r="G577" s="68">
        <v>2</v>
      </c>
      <c r="H577" s="69">
        <f t="shared" si="69"/>
        <v>0</v>
      </c>
      <c r="I577" s="70">
        <f>ROUND($G577*H577,2)</f>
        <v>0</v>
      </c>
    </row>
    <row r="578" spans="2:9" ht="22.8">
      <c r="B578" s="368" t="s">
        <v>322</v>
      </c>
      <c r="C578" s="101"/>
      <c r="D578" s="101"/>
      <c r="E578" s="150" t="s">
        <v>128</v>
      </c>
      <c r="F578" s="151" t="s">
        <v>3</v>
      </c>
      <c r="G578" s="68">
        <v>16</v>
      </c>
      <c r="H578" s="69">
        <f t="shared" si="69"/>
        <v>0</v>
      </c>
      <c r="I578" s="70">
        <f>ROUND($G578*H578,2)</f>
        <v>0</v>
      </c>
    </row>
    <row r="579" spans="2:9" ht="13.2">
      <c r="B579" s="367" t="s">
        <v>323</v>
      </c>
      <c r="C579" s="60" t="s">
        <v>198</v>
      </c>
      <c r="D579" s="60"/>
      <c r="E579" s="152" t="s">
        <v>75</v>
      </c>
      <c r="F579" s="153" t="s">
        <v>13</v>
      </c>
      <c r="G579" s="153" t="s">
        <v>13</v>
      </c>
      <c r="H579" s="69" t="s">
        <v>13</v>
      </c>
      <c r="I579" s="65" t="s">
        <v>13</v>
      </c>
    </row>
    <row r="580" spans="2:9" ht="13.2">
      <c r="B580" s="368" t="s">
        <v>324</v>
      </c>
      <c r="C580" s="83"/>
      <c r="D580" s="83"/>
      <c r="E580" s="144" t="s">
        <v>164</v>
      </c>
      <c r="F580" s="128" t="s">
        <v>16</v>
      </c>
      <c r="G580" s="68">
        <f>14.5*2.5*2</f>
        <v>72.5</v>
      </c>
      <c r="H580" s="69">
        <f t="shared" si="69"/>
        <v>0</v>
      </c>
      <c r="I580" s="70">
        <f>ROUND($G580*H580,2)</f>
        <v>0</v>
      </c>
    </row>
    <row r="581" spans="2:9" ht="13.2">
      <c r="B581" s="367" t="s">
        <v>325</v>
      </c>
      <c r="C581" s="60" t="s">
        <v>199</v>
      </c>
      <c r="D581" s="60"/>
      <c r="E581" s="152" t="s">
        <v>110</v>
      </c>
      <c r="F581" s="151" t="s">
        <v>13</v>
      </c>
      <c r="G581" s="154" t="s">
        <v>13</v>
      </c>
      <c r="H581" s="69" t="s">
        <v>13</v>
      </c>
      <c r="I581" s="65" t="s">
        <v>13</v>
      </c>
    </row>
    <row r="582" spans="2:9" ht="22.8">
      <c r="B582" s="370" t="s">
        <v>326</v>
      </c>
      <c r="C582" s="66"/>
      <c r="D582" s="82"/>
      <c r="E582" s="155" t="s">
        <v>126</v>
      </c>
      <c r="F582" s="81" t="s">
        <v>16</v>
      </c>
      <c r="G582" s="68">
        <f>4.4*11.3*2</f>
        <v>99.44</v>
      </c>
      <c r="H582" s="69">
        <f t="shared" si="69"/>
        <v>0</v>
      </c>
      <c r="I582" s="70">
        <f>ROUND($G582*H582,2)</f>
        <v>0</v>
      </c>
    </row>
    <row r="583" spans="2:9" ht="22.8">
      <c r="B583" s="370" t="s">
        <v>497</v>
      </c>
      <c r="C583" s="192" t="s">
        <v>362</v>
      </c>
      <c r="D583" s="193"/>
      <c r="E583" s="158" t="s">
        <v>162</v>
      </c>
      <c r="F583" s="128" t="s">
        <v>13</v>
      </c>
      <c r="G583" s="128" t="s">
        <v>13</v>
      </c>
      <c r="H583" s="69" t="s">
        <v>13</v>
      </c>
      <c r="I583" s="65" t="s">
        <v>13</v>
      </c>
    </row>
    <row r="584" spans="2:9" ht="13.2">
      <c r="B584" s="370" t="s">
        <v>328</v>
      </c>
      <c r="C584" s="83"/>
      <c r="D584" s="159"/>
      <c r="E584" s="158" t="s">
        <v>242</v>
      </c>
      <c r="F584" s="81" t="s">
        <v>3</v>
      </c>
      <c r="G584" s="68">
        <f>2+2</f>
        <v>4</v>
      </c>
      <c r="H584" s="69">
        <f t="shared" si="69"/>
        <v>0</v>
      </c>
      <c r="I584" s="70">
        <f>ROUND($G584*H584,2)</f>
        <v>0</v>
      </c>
    </row>
    <row r="585" spans="2:9" ht="13.2">
      <c r="B585" s="369"/>
      <c r="C585" s="12"/>
      <c r="D585" s="25"/>
      <c r="E585" s="14" t="s">
        <v>77</v>
      </c>
      <c r="F585" s="13"/>
      <c r="G585" s="210"/>
      <c r="H585" s="194"/>
      <c r="I585" s="34" t="s">
        <v>13</v>
      </c>
    </row>
    <row r="586" spans="2:9" ht="13.8">
      <c r="B586" s="367"/>
      <c r="C586" s="562" t="s">
        <v>421</v>
      </c>
      <c r="D586" s="562"/>
      <c r="E586" s="562"/>
      <c r="F586" s="7"/>
      <c r="G586" s="215"/>
      <c r="H586" s="33" t="s">
        <v>13</v>
      </c>
      <c r="I586" s="10">
        <f>SUM(I478:I584)</f>
        <v>0</v>
      </c>
    </row>
    <row r="587" spans="2:9" ht="26.4">
      <c r="B587" s="410" t="s">
        <v>334</v>
      </c>
      <c r="C587" s="558" t="s">
        <v>498</v>
      </c>
      <c r="D587" s="559"/>
      <c r="E587" s="560"/>
      <c r="F587" s="560"/>
      <c r="G587" s="560"/>
      <c r="H587" s="560"/>
      <c r="I587" s="561"/>
    </row>
    <row r="588" spans="2:9" ht="24">
      <c r="B588" s="371" t="s">
        <v>0</v>
      </c>
      <c r="C588" s="404" t="s">
        <v>210</v>
      </c>
      <c r="D588" s="404" t="s">
        <v>333</v>
      </c>
      <c r="E588" s="405" t="s">
        <v>203</v>
      </c>
      <c r="F588" s="310" t="s">
        <v>204</v>
      </c>
      <c r="G588" s="405" t="s">
        <v>1</v>
      </c>
      <c r="H588" s="41" t="s">
        <v>111</v>
      </c>
      <c r="I588" s="406" t="s">
        <v>112</v>
      </c>
    </row>
    <row r="589" spans="2:9" ht="13.2">
      <c r="B589" s="367" t="s">
        <v>499</v>
      </c>
      <c r="C589" s="375" t="s">
        <v>500</v>
      </c>
      <c r="D589" s="374"/>
      <c r="E589" s="376" t="s">
        <v>501</v>
      </c>
      <c r="F589" s="377"/>
      <c r="G589" s="381">
        <v>0</v>
      </c>
      <c r="H589" s="396"/>
      <c r="I589" s="396"/>
    </row>
    <row r="590" spans="2:9" ht="13.2">
      <c r="B590" s="367" t="s">
        <v>247</v>
      </c>
      <c r="C590" s="375" t="s">
        <v>171</v>
      </c>
      <c r="D590" s="374"/>
      <c r="E590" s="376" t="s">
        <v>14</v>
      </c>
      <c r="F590" s="377"/>
      <c r="G590" s="378"/>
      <c r="H590" s="379"/>
      <c r="I590" s="380"/>
    </row>
    <row r="591" spans="2:9" ht="13.2">
      <c r="B591" s="369"/>
      <c r="C591" s="128"/>
      <c r="D591" s="196"/>
      <c r="E591" s="87" t="s">
        <v>438</v>
      </c>
      <c r="F591" s="13" t="s">
        <v>153</v>
      </c>
      <c r="G591" s="37"/>
      <c r="H591" s="181"/>
      <c r="I591" s="182" t="s">
        <v>13</v>
      </c>
    </row>
    <row r="592" spans="2:9" ht="13.2">
      <c r="B592" s="367" t="s">
        <v>439</v>
      </c>
      <c r="C592" s="375" t="s">
        <v>440</v>
      </c>
      <c r="D592" s="374"/>
      <c r="E592" s="376" t="s">
        <v>441</v>
      </c>
      <c r="F592" s="377"/>
      <c r="G592" s="381"/>
      <c r="H592" s="397"/>
      <c r="I592" s="380"/>
    </row>
    <row r="593" spans="2:9" ht="13.2">
      <c r="B593" s="367" t="s">
        <v>248</v>
      </c>
      <c r="C593" s="60" t="s">
        <v>166</v>
      </c>
      <c r="D593" s="60"/>
      <c r="E593" s="61" t="s">
        <v>116</v>
      </c>
      <c r="F593" s="62" t="s">
        <v>13</v>
      </c>
      <c r="G593" s="63" t="s">
        <v>13</v>
      </c>
      <c r="H593" s="64"/>
      <c r="I593" s="65" t="s">
        <v>13</v>
      </c>
    </row>
    <row r="594" spans="2:9" ht="22.8">
      <c r="B594" s="368" t="s">
        <v>249</v>
      </c>
      <c r="C594" s="66"/>
      <c r="D594" s="66"/>
      <c r="E594" s="67" t="s">
        <v>160</v>
      </c>
      <c r="F594" s="62" t="s">
        <v>17</v>
      </c>
      <c r="G594" s="68">
        <f>1.02*12.5*2</f>
        <v>25.5</v>
      </c>
      <c r="H594" s="69">
        <f t="shared" ref="H594:H653" si="70">L594*$K$5</f>
        <v>0</v>
      </c>
      <c r="I594" s="70">
        <f t="shared" ref="I594" si="71">ROUND($G594*H594,2)</f>
        <v>0</v>
      </c>
    </row>
    <row r="595" spans="2:9" ht="13.2">
      <c r="B595" s="368" t="s">
        <v>442</v>
      </c>
      <c r="C595" s="197" t="s">
        <v>443</v>
      </c>
      <c r="D595" s="197"/>
      <c r="E595" s="198" t="s">
        <v>444</v>
      </c>
      <c r="F595" s="62" t="s">
        <v>13</v>
      </c>
      <c r="G595" s="199" t="s">
        <v>13</v>
      </c>
      <c r="H595" s="69" t="s">
        <v>13</v>
      </c>
      <c r="I595" s="49" t="s">
        <v>13</v>
      </c>
    </row>
    <row r="596" spans="2:9" ht="26.4">
      <c r="B596" s="368" t="s">
        <v>445</v>
      </c>
      <c r="C596" s="200"/>
      <c r="D596" s="201"/>
      <c r="E596" s="202" t="s">
        <v>446</v>
      </c>
      <c r="F596" s="94" t="s">
        <v>363</v>
      </c>
      <c r="G596" s="203">
        <v>440</v>
      </c>
      <c r="H596" s="69">
        <f t="shared" si="70"/>
        <v>0</v>
      </c>
      <c r="I596" s="70">
        <f>ROUND($G596*H596,2)</f>
        <v>0</v>
      </c>
    </row>
    <row r="597" spans="2:9" ht="13.2">
      <c r="B597" s="369"/>
      <c r="C597" s="129"/>
      <c r="D597" s="130"/>
      <c r="E597" s="87" t="s">
        <v>447</v>
      </c>
      <c r="F597" s="13" t="s">
        <v>153</v>
      </c>
      <c r="G597" s="134"/>
      <c r="H597"/>
      <c r="I597" s="182" t="s">
        <v>13</v>
      </c>
    </row>
    <row r="598" spans="2:9" ht="13.2">
      <c r="B598" s="367" t="s">
        <v>250</v>
      </c>
      <c r="C598" s="375" t="s">
        <v>172</v>
      </c>
      <c r="D598" s="374"/>
      <c r="E598" s="376" t="s">
        <v>20</v>
      </c>
      <c r="F598" s="377"/>
      <c r="G598" s="381"/>
      <c r="H598" s="382"/>
      <c r="I598" s="380"/>
    </row>
    <row r="599" spans="2:9" ht="24">
      <c r="B599" s="367"/>
      <c r="C599" s="71"/>
      <c r="D599" s="72"/>
      <c r="E599" s="73" t="s">
        <v>241</v>
      </c>
      <c r="F599" s="30"/>
      <c r="G599" s="31"/>
      <c r="H599"/>
      <c r="I599" s="32"/>
    </row>
    <row r="600" spans="2:9" ht="13.2">
      <c r="B600" s="367" t="s">
        <v>251</v>
      </c>
      <c r="C600" s="74" t="s">
        <v>173</v>
      </c>
      <c r="D600" s="75"/>
      <c r="E600" s="76" t="s">
        <v>115</v>
      </c>
      <c r="F600" s="62" t="s">
        <v>13</v>
      </c>
      <c r="G600" s="63" t="s">
        <v>13</v>
      </c>
      <c r="H600" s="69" t="s">
        <v>13</v>
      </c>
      <c r="I600" s="65" t="s">
        <v>13</v>
      </c>
    </row>
    <row r="601" spans="2:9" ht="13.2">
      <c r="B601" s="369"/>
      <c r="C601" s="77"/>
      <c r="D601" s="78"/>
      <c r="E601" s="79" t="s">
        <v>117</v>
      </c>
      <c r="F601" s="62" t="s">
        <v>13</v>
      </c>
      <c r="G601" s="63" t="s">
        <v>13</v>
      </c>
      <c r="H601" s="69" t="s">
        <v>13</v>
      </c>
      <c r="I601" s="65" t="s">
        <v>13</v>
      </c>
    </row>
    <row r="602" spans="2:9" ht="13.2">
      <c r="B602" s="368" t="s">
        <v>252</v>
      </c>
      <c r="C602" s="66"/>
      <c r="D602" s="82"/>
      <c r="E602" s="80" t="s">
        <v>365</v>
      </c>
      <c r="F602" s="81" t="s">
        <v>23</v>
      </c>
      <c r="G602" s="68">
        <f>16275*2</f>
        <v>32550</v>
      </c>
      <c r="H602" s="69">
        <f t="shared" si="70"/>
        <v>0</v>
      </c>
      <c r="I602" s="70">
        <f t="shared" ref="I602:I605" si="72">ROUND($G602*H602,2)</f>
        <v>0</v>
      </c>
    </row>
    <row r="603" spans="2:9" ht="13.2">
      <c r="B603" s="368" t="s">
        <v>253</v>
      </c>
      <c r="C603" s="66"/>
      <c r="D603" s="82"/>
      <c r="E603" s="80" t="s">
        <v>163</v>
      </c>
      <c r="F603" s="81" t="s">
        <v>23</v>
      </c>
      <c r="G603" s="68">
        <f>175+159+146+223</f>
        <v>703</v>
      </c>
      <c r="H603" s="69">
        <f t="shared" si="70"/>
        <v>0</v>
      </c>
      <c r="I603" s="70">
        <f t="shared" si="72"/>
        <v>0</v>
      </c>
    </row>
    <row r="604" spans="2:9" ht="13.2">
      <c r="B604" s="368" t="s">
        <v>254</v>
      </c>
      <c r="C604" s="66"/>
      <c r="D604" s="82"/>
      <c r="E604" s="80" t="s">
        <v>448</v>
      </c>
      <c r="F604" s="81" t="s">
        <v>23</v>
      </c>
      <c r="G604" s="68">
        <f>5115*2</f>
        <v>10230</v>
      </c>
      <c r="H604" s="69">
        <f t="shared" si="70"/>
        <v>0</v>
      </c>
      <c r="I604" s="70">
        <f t="shared" si="72"/>
        <v>0</v>
      </c>
    </row>
    <row r="605" spans="2:9" ht="13.2">
      <c r="B605" s="368" t="s">
        <v>255</v>
      </c>
      <c r="C605" s="66"/>
      <c r="D605" s="82"/>
      <c r="E605" s="80" t="s">
        <v>118</v>
      </c>
      <c r="F605" s="81" t="s">
        <v>23</v>
      </c>
      <c r="G605" s="68">
        <f>978*2</f>
        <v>1956</v>
      </c>
      <c r="H605" s="69">
        <f t="shared" si="70"/>
        <v>0</v>
      </c>
      <c r="I605" s="70">
        <f t="shared" si="72"/>
        <v>0</v>
      </c>
    </row>
    <row r="606" spans="2:9" ht="13.2">
      <c r="B606" s="368" t="s">
        <v>449</v>
      </c>
      <c r="C606" s="83"/>
      <c r="D606" s="84"/>
      <c r="E606" s="85" t="s">
        <v>205</v>
      </c>
      <c r="F606" s="81" t="s">
        <v>3</v>
      </c>
      <c r="G606" s="68">
        <f>4*4</f>
        <v>16</v>
      </c>
      <c r="H606" s="69">
        <f t="shared" si="70"/>
        <v>0</v>
      </c>
      <c r="I606" s="70">
        <f>ROUND($G606*H606,2)</f>
        <v>0</v>
      </c>
    </row>
    <row r="607" spans="2:9" ht="13.2">
      <c r="B607" s="369"/>
      <c r="C607" s="83"/>
      <c r="D607" s="84"/>
      <c r="E607" s="87" t="s">
        <v>26</v>
      </c>
      <c r="F607" s="81" t="s">
        <v>153</v>
      </c>
      <c r="G607" s="37"/>
      <c r="H607"/>
      <c r="I607" s="182" t="s">
        <v>13</v>
      </c>
    </row>
    <row r="608" spans="2:9" ht="13.2">
      <c r="B608" s="367" t="s">
        <v>256</v>
      </c>
      <c r="C608" s="375" t="s">
        <v>174</v>
      </c>
      <c r="D608" s="374"/>
      <c r="E608" s="376" t="s">
        <v>27</v>
      </c>
      <c r="F608" s="377"/>
      <c r="G608" s="381"/>
      <c r="H608" s="382"/>
      <c r="I608" s="380"/>
    </row>
    <row r="609" spans="2:9" ht="24">
      <c r="B609" s="367"/>
      <c r="C609" s="71"/>
      <c r="D609" s="72"/>
      <c r="E609" s="73" t="s">
        <v>241</v>
      </c>
      <c r="F609" s="30"/>
      <c r="G609" s="31"/>
      <c r="H609"/>
      <c r="I609" s="32"/>
    </row>
    <row r="610" spans="2:9" ht="13.2">
      <c r="B610" s="367" t="s">
        <v>257</v>
      </c>
      <c r="C610" s="74" t="s">
        <v>175</v>
      </c>
      <c r="D610" s="75"/>
      <c r="E610" s="76" t="s">
        <v>29</v>
      </c>
      <c r="F610" s="62" t="s">
        <v>13</v>
      </c>
      <c r="G610" s="62" t="s">
        <v>13</v>
      </c>
      <c r="H610" s="69" t="s">
        <v>13</v>
      </c>
      <c r="I610" s="65" t="s">
        <v>13</v>
      </c>
    </row>
    <row r="611" spans="2:9" ht="22.8">
      <c r="B611" s="368" t="s">
        <v>258</v>
      </c>
      <c r="C611" s="98"/>
      <c r="D611" s="99"/>
      <c r="E611" s="76" t="s">
        <v>367</v>
      </c>
      <c r="F611" s="62" t="s">
        <v>17</v>
      </c>
      <c r="G611" s="68">
        <f>114.4*2</f>
        <v>228.8</v>
      </c>
      <c r="H611" s="69">
        <f t="shared" si="70"/>
        <v>0</v>
      </c>
      <c r="I611" s="70">
        <f>ROUND($G611*H611,2)</f>
        <v>0</v>
      </c>
    </row>
    <row r="612" spans="2:9" ht="13.2">
      <c r="B612" s="367" t="s">
        <v>259</v>
      </c>
      <c r="C612" s="66" t="s">
        <v>176</v>
      </c>
      <c r="D612" s="66"/>
      <c r="E612" s="90" t="s">
        <v>31</v>
      </c>
      <c r="F612" s="81" t="s">
        <v>13</v>
      </c>
      <c r="G612" s="81" t="s">
        <v>13</v>
      </c>
      <c r="H612" s="69" t="s">
        <v>13</v>
      </c>
      <c r="I612" s="65" t="s">
        <v>13</v>
      </c>
    </row>
    <row r="613" spans="2:9" ht="24.6" customHeight="1">
      <c r="B613" s="368" t="s">
        <v>260</v>
      </c>
      <c r="C613" s="66"/>
      <c r="D613" s="66"/>
      <c r="E613" s="67" t="s">
        <v>450</v>
      </c>
      <c r="F613" s="62" t="s">
        <v>17</v>
      </c>
      <c r="G613" s="68">
        <v>70</v>
      </c>
      <c r="H613" s="69">
        <f t="shared" si="70"/>
        <v>0</v>
      </c>
      <c r="I613" s="70">
        <f t="shared" ref="I613:I615" si="73">ROUND($G613*H613,2)</f>
        <v>0</v>
      </c>
    </row>
    <row r="614" spans="2:9" ht="23.4" customHeight="1">
      <c r="B614" s="368" t="s">
        <v>369</v>
      </c>
      <c r="C614" s="66"/>
      <c r="D614" s="66"/>
      <c r="E614" s="67" t="s">
        <v>165</v>
      </c>
      <c r="F614" s="62" t="s">
        <v>17</v>
      </c>
      <c r="G614" s="68">
        <v>14</v>
      </c>
      <c r="H614" s="69">
        <f t="shared" si="70"/>
        <v>0</v>
      </c>
      <c r="I614" s="70">
        <f t="shared" si="73"/>
        <v>0</v>
      </c>
    </row>
    <row r="615" spans="2:9" ht="23.4" customHeight="1">
      <c r="B615" s="368" t="s">
        <v>451</v>
      </c>
      <c r="C615" s="83"/>
      <c r="D615" s="83"/>
      <c r="E615" s="67" t="s">
        <v>370</v>
      </c>
      <c r="F615" s="62" t="s">
        <v>17</v>
      </c>
      <c r="G615" s="68">
        <f>0.55*2</f>
        <v>1.1000000000000001</v>
      </c>
      <c r="H615" s="69">
        <f t="shared" si="70"/>
        <v>0</v>
      </c>
      <c r="I615" s="70">
        <f t="shared" si="73"/>
        <v>0</v>
      </c>
    </row>
    <row r="616" spans="2:9" ht="13.2">
      <c r="B616" s="367" t="s">
        <v>261</v>
      </c>
      <c r="C616" s="66" t="s">
        <v>177</v>
      </c>
      <c r="D616" s="66"/>
      <c r="E616" s="90" t="s">
        <v>129</v>
      </c>
      <c r="F616" s="81" t="s">
        <v>13</v>
      </c>
      <c r="G616" s="81" t="s">
        <v>13</v>
      </c>
      <c r="H616" s="69" t="s">
        <v>13</v>
      </c>
      <c r="I616" s="49" t="s">
        <v>13</v>
      </c>
    </row>
    <row r="617" spans="2:9" ht="13.2">
      <c r="B617" s="368" t="s">
        <v>262</v>
      </c>
      <c r="C617" s="66"/>
      <c r="D617" s="66"/>
      <c r="E617" s="67" t="s">
        <v>371</v>
      </c>
      <c r="F617" s="62" t="s">
        <v>17</v>
      </c>
      <c r="G617" s="68">
        <v>140</v>
      </c>
      <c r="H617" s="69">
        <f t="shared" si="70"/>
        <v>0</v>
      </c>
      <c r="I617" s="70">
        <f>ROUND($G617*H617,2)</f>
        <v>0</v>
      </c>
    </row>
    <row r="618" spans="2:9" ht="13.2">
      <c r="B618" s="367" t="s">
        <v>265</v>
      </c>
      <c r="C618" s="60" t="s">
        <v>179</v>
      </c>
      <c r="D618" s="60"/>
      <c r="E618" s="90" t="s">
        <v>130</v>
      </c>
      <c r="F618" s="62" t="s">
        <v>13</v>
      </c>
      <c r="G618" s="62" t="s">
        <v>13</v>
      </c>
      <c r="H618" s="69" t="s">
        <v>13</v>
      </c>
      <c r="I618" s="65" t="s">
        <v>13</v>
      </c>
    </row>
    <row r="619" spans="2:9" ht="22.8">
      <c r="B619" s="368" t="s">
        <v>266</v>
      </c>
      <c r="C619" s="83"/>
      <c r="D619" s="83"/>
      <c r="E619" s="90" t="s">
        <v>452</v>
      </c>
      <c r="F619" s="62" t="s">
        <v>17</v>
      </c>
      <c r="G619" s="93">
        <f>29.2*2</f>
        <v>58.4</v>
      </c>
      <c r="H619" s="69">
        <f t="shared" si="70"/>
        <v>0</v>
      </c>
      <c r="I619" s="70">
        <f>ROUND($G619*H619,2)</f>
        <v>0</v>
      </c>
    </row>
    <row r="620" spans="2:9" ht="13.2">
      <c r="B620" s="367" t="s">
        <v>267</v>
      </c>
      <c r="C620" s="60" t="s">
        <v>180</v>
      </c>
      <c r="D620" s="60"/>
      <c r="E620" s="90" t="s">
        <v>119</v>
      </c>
      <c r="F620" s="81" t="s">
        <v>13</v>
      </c>
      <c r="G620" s="81" t="s">
        <v>13</v>
      </c>
      <c r="H620" s="69" t="s">
        <v>13</v>
      </c>
      <c r="I620" s="65" t="s">
        <v>13</v>
      </c>
    </row>
    <row r="621" spans="2:9" ht="22.8">
      <c r="B621" s="368" t="s">
        <v>268</v>
      </c>
      <c r="C621" s="83"/>
      <c r="D621" s="83"/>
      <c r="E621" s="92" t="s">
        <v>138</v>
      </c>
      <c r="F621" s="94" t="s">
        <v>363</v>
      </c>
      <c r="G621" s="68">
        <f>8.9*2</f>
        <v>17.8</v>
      </c>
      <c r="H621" s="69">
        <f t="shared" si="70"/>
        <v>0</v>
      </c>
      <c r="I621" s="70">
        <f>ROUND($G621*H621,2)</f>
        <v>0</v>
      </c>
    </row>
    <row r="622" spans="2:9" ht="13.2">
      <c r="B622" s="369"/>
      <c r="C622" s="62"/>
      <c r="D622" s="95"/>
      <c r="E622" s="87" t="s">
        <v>39</v>
      </c>
      <c r="F622" s="62" t="s">
        <v>153</v>
      </c>
      <c r="G622" s="96"/>
      <c r="H622"/>
      <c r="I622" s="182" t="s">
        <v>13</v>
      </c>
    </row>
    <row r="623" spans="2:9" ht="13.2">
      <c r="B623" s="367" t="s">
        <v>269</v>
      </c>
      <c r="C623" s="74" t="s">
        <v>181</v>
      </c>
      <c r="D623" s="75"/>
      <c r="E623" s="97" t="s">
        <v>139</v>
      </c>
      <c r="F623" s="62" t="s">
        <v>13</v>
      </c>
      <c r="G623" s="62" t="s">
        <v>13</v>
      </c>
      <c r="H623" s="69" t="s">
        <v>13</v>
      </c>
      <c r="I623" s="65" t="s">
        <v>13</v>
      </c>
    </row>
    <row r="624" spans="2:9" ht="22.8">
      <c r="B624" s="368" t="s">
        <v>270</v>
      </c>
      <c r="C624" s="98"/>
      <c r="D624" s="99"/>
      <c r="E624" s="100" t="s">
        <v>140</v>
      </c>
      <c r="F624" s="62" t="s">
        <v>17</v>
      </c>
      <c r="G624" s="68">
        <f>5.25*2</f>
        <v>10.5</v>
      </c>
      <c r="H624" s="69">
        <f t="shared" si="70"/>
        <v>0</v>
      </c>
      <c r="I624" s="70">
        <f t="shared" ref="I624:I625" si="74">ROUND($G624*H624,2)</f>
        <v>0</v>
      </c>
    </row>
    <row r="625" spans="2:9" ht="22.8">
      <c r="B625" s="368" t="s">
        <v>271</v>
      </c>
      <c r="C625" s="103"/>
      <c r="D625" s="104"/>
      <c r="E625" s="100" t="s">
        <v>141</v>
      </c>
      <c r="F625" s="62" t="s">
        <v>17</v>
      </c>
      <c r="G625" s="68">
        <f>0.08*(11.8+11.8)</f>
        <v>1.89</v>
      </c>
      <c r="H625" s="69">
        <f t="shared" si="70"/>
        <v>0</v>
      </c>
      <c r="I625" s="70">
        <f t="shared" si="74"/>
        <v>0</v>
      </c>
    </row>
    <row r="626" spans="2:9" ht="13.2">
      <c r="B626" s="369"/>
      <c r="C626" s="103"/>
      <c r="D626" s="104"/>
      <c r="E626" s="87" t="s">
        <v>43</v>
      </c>
      <c r="F626" s="62" t="s">
        <v>153</v>
      </c>
      <c r="G626" s="39"/>
      <c r="H626"/>
      <c r="I626" s="182" t="s">
        <v>13</v>
      </c>
    </row>
    <row r="627" spans="2:9" ht="13.2">
      <c r="B627" s="367" t="s">
        <v>272</v>
      </c>
      <c r="C627" s="375" t="s">
        <v>200</v>
      </c>
      <c r="D627" s="374"/>
      <c r="E627" s="376" t="s">
        <v>44</v>
      </c>
      <c r="F627" s="377"/>
      <c r="G627" s="383"/>
      <c r="H627" s="382"/>
      <c r="I627" s="380"/>
    </row>
    <row r="628" spans="2:9" ht="24">
      <c r="B628" s="367"/>
      <c r="C628" s="71"/>
      <c r="D628" s="72"/>
      <c r="E628" s="73" t="s">
        <v>241</v>
      </c>
      <c r="F628" s="30"/>
      <c r="G628" s="105"/>
      <c r="H628"/>
      <c r="I628" s="32"/>
    </row>
    <row r="629" spans="2:9" ht="13.2">
      <c r="B629" s="367" t="s">
        <v>273</v>
      </c>
      <c r="C629" s="74" t="s">
        <v>167</v>
      </c>
      <c r="D629" s="74"/>
      <c r="E629" s="90" t="s">
        <v>132</v>
      </c>
      <c r="F629" s="62" t="s">
        <v>13</v>
      </c>
      <c r="G629" s="81" t="s">
        <v>13</v>
      </c>
      <c r="H629" s="69" t="s">
        <v>13</v>
      </c>
      <c r="I629" s="65" t="s">
        <v>13</v>
      </c>
    </row>
    <row r="630" spans="2:9" ht="22.8">
      <c r="B630" s="368" t="s">
        <v>330</v>
      </c>
      <c r="C630" s="106"/>
      <c r="D630" s="106"/>
      <c r="E630" s="67" t="s">
        <v>159</v>
      </c>
      <c r="F630" s="62" t="s">
        <v>23</v>
      </c>
      <c r="G630" s="68">
        <v>541</v>
      </c>
      <c r="H630" s="69">
        <f t="shared" si="70"/>
        <v>0</v>
      </c>
      <c r="I630" s="70">
        <f>ROUND($G630*H630,2)</f>
        <v>0</v>
      </c>
    </row>
    <row r="631" spans="2:9" ht="22.8">
      <c r="B631" s="368" t="s">
        <v>343</v>
      </c>
      <c r="C631" s="74" t="s">
        <v>355</v>
      </c>
      <c r="D631" s="74"/>
      <c r="E631" s="110" t="s">
        <v>357</v>
      </c>
      <c r="F631" s="170" t="s">
        <v>13</v>
      </c>
      <c r="G631" s="81" t="s">
        <v>13</v>
      </c>
      <c r="H631" s="69" t="s">
        <v>13</v>
      </c>
      <c r="I631" s="49" t="s">
        <v>13</v>
      </c>
    </row>
    <row r="632" spans="2:9" ht="22.8">
      <c r="B632" s="368" t="s">
        <v>274</v>
      </c>
      <c r="C632" s="206"/>
      <c r="D632" s="206"/>
      <c r="E632" s="90" t="s">
        <v>154</v>
      </c>
      <c r="F632" s="109" t="s">
        <v>15</v>
      </c>
      <c r="G632" s="68">
        <f>(12+9+10+20)*1.4</f>
        <v>71.400000000000006</v>
      </c>
      <c r="H632" s="69">
        <f t="shared" si="70"/>
        <v>0</v>
      </c>
      <c r="I632" s="70">
        <f>ROUND($G632*H632,2)</f>
        <v>0</v>
      </c>
    </row>
    <row r="633" spans="2:9" ht="13.2">
      <c r="B633" s="369"/>
      <c r="C633" s="12"/>
      <c r="D633" s="25"/>
      <c r="E633" s="87" t="s">
        <v>46</v>
      </c>
      <c r="F633" s="13" t="s">
        <v>153</v>
      </c>
      <c r="G633" s="96"/>
      <c r="H633"/>
      <c r="I633" s="182" t="s">
        <v>13</v>
      </c>
    </row>
    <row r="634" spans="2:9" ht="13.2">
      <c r="B634" s="367" t="s">
        <v>275</v>
      </c>
      <c r="C634" s="375" t="s">
        <v>201</v>
      </c>
      <c r="D634" s="374"/>
      <c r="E634" s="407" t="s">
        <v>380</v>
      </c>
      <c r="F634" s="377"/>
      <c r="G634" s="381"/>
      <c r="H634" s="382"/>
      <c r="I634" s="380"/>
    </row>
    <row r="635" spans="2:9" ht="24">
      <c r="B635" s="367"/>
      <c r="C635" s="71"/>
      <c r="D635" s="72"/>
      <c r="E635" s="73" t="s">
        <v>241</v>
      </c>
      <c r="F635" s="30"/>
      <c r="G635" s="31"/>
      <c r="H635"/>
      <c r="I635" s="32"/>
    </row>
    <row r="636" spans="2:9" ht="13.2">
      <c r="B636" s="367" t="s">
        <v>276</v>
      </c>
      <c r="C636" s="60" t="s">
        <v>182</v>
      </c>
      <c r="D636" s="60"/>
      <c r="E636" s="90" t="s">
        <v>49</v>
      </c>
      <c r="F636" s="62" t="s">
        <v>13</v>
      </c>
      <c r="G636" s="62" t="s">
        <v>13</v>
      </c>
      <c r="H636" s="69" t="s">
        <v>13</v>
      </c>
      <c r="I636" s="65" t="s">
        <v>13</v>
      </c>
    </row>
    <row r="637" spans="2:9" ht="34.200000000000003">
      <c r="B637" s="368" t="s">
        <v>277</v>
      </c>
      <c r="C637" s="66"/>
      <c r="D637" s="66"/>
      <c r="E637" s="110" t="s">
        <v>207</v>
      </c>
      <c r="F637" s="62" t="s">
        <v>15</v>
      </c>
      <c r="G637" s="68">
        <v>465</v>
      </c>
      <c r="H637" s="69">
        <f t="shared" si="70"/>
        <v>0</v>
      </c>
      <c r="I637" s="70">
        <f t="shared" ref="I637:I638" si="75">ROUND($G637*H637,2)</f>
        <v>0</v>
      </c>
    </row>
    <row r="638" spans="2:9" ht="45.6">
      <c r="B638" s="368" t="s">
        <v>278</v>
      </c>
      <c r="C638" s="83"/>
      <c r="D638" s="83"/>
      <c r="E638" s="92" t="s">
        <v>149</v>
      </c>
      <c r="F638" s="62" t="s">
        <v>15</v>
      </c>
      <c r="G638" s="68">
        <v>17.5</v>
      </c>
      <c r="H638" s="69">
        <f t="shared" si="70"/>
        <v>0</v>
      </c>
      <c r="I638" s="70">
        <f t="shared" si="75"/>
        <v>0</v>
      </c>
    </row>
    <row r="639" spans="2:9" ht="13.2">
      <c r="B639" s="367" t="s">
        <v>279</v>
      </c>
      <c r="C639" s="74" t="s">
        <v>168</v>
      </c>
      <c r="D639" s="74"/>
      <c r="E639" s="90" t="s">
        <v>155</v>
      </c>
      <c r="F639" s="81" t="s">
        <v>13</v>
      </c>
      <c r="G639" s="81" t="s">
        <v>13</v>
      </c>
      <c r="H639" s="69" t="s">
        <v>13</v>
      </c>
      <c r="I639" s="65" t="s">
        <v>13</v>
      </c>
    </row>
    <row r="640" spans="2:9" ht="22.8">
      <c r="B640" s="368" t="s">
        <v>280</v>
      </c>
      <c r="C640" s="103"/>
      <c r="D640" s="103"/>
      <c r="E640" s="110" t="s">
        <v>502</v>
      </c>
      <c r="F640" s="62" t="s">
        <v>15</v>
      </c>
      <c r="G640" s="68">
        <f>3.7*(3.2+7.9)*2+4.5*10.6*2</f>
        <v>177.54</v>
      </c>
      <c r="H640" s="69">
        <f t="shared" si="70"/>
        <v>0</v>
      </c>
      <c r="I640" s="70">
        <f t="shared" ref="I640:I641" si="76">ROUND($G640*H640,2)</f>
        <v>0</v>
      </c>
    </row>
    <row r="641" spans="2:9" ht="13.2">
      <c r="B641" s="368" t="s">
        <v>280</v>
      </c>
      <c r="C641" s="101"/>
      <c r="D641" s="101"/>
      <c r="E641" s="90" t="s">
        <v>150</v>
      </c>
      <c r="F641" s="62" t="s">
        <v>15</v>
      </c>
      <c r="G641" s="68">
        <v>4</v>
      </c>
      <c r="H641" s="69">
        <f t="shared" si="70"/>
        <v>0</v>
      </c>
      <c r="I641" s="70">
        <f t="shared" si="76"/>
        <v>0</v>
      </c>
    </row>
    <row r="642" spans="2:9" ht="13.2">
      <c r="B642" s="367" t="s">
        <v>282</v>
      </c>
      <c r="C642" s="74" t="s">
        <v>183</v>
      </c>
      <c r="D642" s="74"/>
      <c r="E642" s="90" t="s">
        <v>54</v>
      </c>
      <c r="F642" s="81" t="s">
        <v>13</v>
      </c>
      <c r="G642" s="81" t="s">
        <v>13</v>
      </c>
      <c r="H642" s="69" t="s">
        <v>13</v>
      </c>
      <c r="I642" s="65" t="s">
        <v>13</v>
      </c>
    </row>
    <row r="643" spans="2:9" ht="22.8">
      <c r="B643" s="368" t="s">
        <v>283</v>
      </c>
      <c r="C643" s="98"/>
      <c r="D643" s="98"/>
      <c r="E643" s="92" t="s">
        <v>156</v>
      </c>
      <c r="F643" s="62" t="s">
        <v>15</v>
      </c>
      <c r="G643" s="68">
        <f>(4.76+7.64+4.76)*1.46*2</f>
        <v>50.11</v>
      </c>
      <c r="H643" s="69">
        <f t="shared" si="70"/>
        <v>0</v>
      </c>
      <c r="I643" s="70">
        <f>ROUND($G643*H643,2)</f>
        <v>0</v>
      </c>
    </row>
    <row r="644" spans="2:9" ht="13.2">
      <c r="B644" s="367" t="s">
        <v>284</v>
      </c>
      <c r="C644" s="74" t="s">
        <v>184</v>
      </c>
      <c r="D644" s="74"/>
      <c r="E644" s="90" t="s">
        <v>121</v>
      </c>
      <c r="F644" s="81" t="s">
        <v>13</v>
      </c>
      <c r="G644" s="81" t="s">
        <v>13</v>
      </c>
      <c r="H644" s="69" t="s">
        <v>13</v>
      </c>
      <c r="I644" s="49" t="s">
        <v>13</v>
      </c>
    </row>
    <row r="645" spans="2:9" ht="22.8">
      <c r="B645" s="368" t="s">
        <v>285</v>
      </c>
      <c r="C645" s="98"/>
      <c r="D645" s="98"/>
      <c r="E645" s="111" t="s">
        <v>122</v>
      </c>
      <c r="F645" s="83" t="s">
        <v>15</v>
      </c>
      <c r="G645" s="68">
        <f>(7.64+0.2)*11.82</f>
        <v>92.67</v>
      </c>
      <c r="H645" s="69">
        <f t="shared" si="70"/>
        <v>0</v>
      </c>
      <c r="I645" s="70">
        <f>ROUND($G645*H645,2)</f>
        <v>0</v>
      </c>
    </row>
    <row r="646" spans="2:9" ht="13.2">
      <c r="B646" s="367" t="s">
        <v>286</v>
      </c>
      <c r="C646" s="74" t="s">
        <v>185</v>
      </c>
      <c r="D646" s="74"/>
      <c r="E646" s="90" t="s">
        <v>151</v>
      </c>
      <c r="F646" s="81" t="s">
        <v>13</v>
      </c>
      <c r="G646" s="81" t="s">
        <v>13</v>
      </c>
      <c r="H646" s="69" t="s">
        <v>13</v>
      </c>
      <c r="I646" s="65" t="s">
        <v>13</v>
      </c>
    </row>
    <row r="647" spans="2:9" ht="22.8">
      <c r="B647" s="368" t="s">
        <v>287</v>
      </c>
      <c r="C647" s="98"/>
      <c r="D647" s="98"/>
      <c r="E647" s="90" t="s">
        <v>152</v>
      </c>
      <c r="F647" s="83" t="s">
        <v>15</v>
      </c>
      <c r="G647" s="68">
        <f>(7.3+6.1+6.7+9.7)*1*1.4</f>
        <v>41.72</v>
      </c>
      <c r="H647" s="69">
        <f t="shared" si="70"/>
        <v>0</v>
      </c>
      <c r="I647" s="70">
        <f>ROUND($G647*H647,2)</f>
        <v>0</v>
      </c>
    </row>
    <row r="648" spans="2:9" ht="13.2">
      <c r="B648" s="369"/>
      <c r="C648" s="12"/>
      <c r="D648" s="25"/>
      <c r="E648" s="87" t="s">
        <v>58</v>
      </c>
      <c r="F648" s="13" t="s">
        <v>153</v>
      </c>
      <c r="G648" s="96"/>
      <c r="H648"/>
      <c r="I648" s="182" t="s">
        <v>13</v>
      </c>
    </row>
    <row r="649" spans="2:9" ht="13.2">
      <c r="B649" s="367" t="s">
        <v>288</v>
      </c>
      <c r="C649" s="385" t="s">
        <v>186</v>
      </c>
      <c r="D649" s="386"/>
      <c r="E649" s="387" t="s">
        <v>81</v>
      </c>
      <c r="F649" s="388"/>
      <c r="G649" s="381"/>
      <c r="H649" s="382"/>
      <c r="I649" s="380"/>
    </row>
    <row r="650" spans="2:9" ht="24">
      <c r="B650" s="367"/>
      <c r="C650" s="71"/>
      <c r="D650" s="72"/>
      <c r="E650" s="73" t="s">
        <v>241</v>
      </c>
      <c r="F650" s="30"/>
      <c r="G650" s="112"/>
      <c r="H650"/>
      <c r="I650" s="113"/>
    </row>
    <row r="651" spans="2:9" ht="13.2">
      <c r="B651" s="367" t="s">
        <v>289</v>
      </c>
      <c r="C651" s="74" t="s">
        <v>187</v>
      </c>
      <c r="D651" s="74"/>
      <c r="E651" s="61" t="s">
        <v>360</v>
      </c>
      <c r="F651" s="62" t="s">
        <v>13</v>
      </c>
      <c r="G651" s="114" t="s">
        <v>13</v>
      </c>
      <c r="H651" s="69" t="s">
        <v>13</v>
      </c>
      <c r="I651" s="65" t="s">
        <v>13</v>
      </c>
    </row>
    <row r="652" spans="2:9" ht="22.8">
      <c r="B652" s="368" t="s">
        <v>290</v>
      </c>
      <c r="C652" s="115"/>
      <c r="D652" s="115"/>
      <c r="E652" s="67" t="s">
        <v>84</v>
      </c>
      <c r="F652" s="62" t="s">
        <v>4</v>
      </c>
      <c r="G652" s="68">
        <f>2.1+2.2+3.1+2.4</f>
        <v>9.8000000000000007</v>
      </c>
      <c r="H652" s="69">
        <f t="shared" si="70"/>
        <v>0</v>
      </c>
      <c r="I652" s="70">
        <f t="shared" ref="I652:I653" si="77">ROUND($G652*H652,2)</f>
        <v>0</v>
      </c>
    </row>
    <row r="653" spans="2:9" ht="22.8">
      <c r="B653" s="368" t="s">
        <v>291</v>
      </c>
      <c r="C653" s="115"/>
      <c r="D653" s="115"/>
      <c r="E653" s="116" t="s">
        <v>157</v>
      </c>
      <c r="F653" s="62" t="s">
        <v>3</v>
      </c>
      <c r="G653" s="68">
        <f>1+1+1+1</f>
        <v>4</v>
      </c>
      <c r="H653" s="69">
        <f t="shared" si="70"/>
        <v>0</v>
      </c>
      <c r="I653" s="70">
        <f t="shared" si="77"/>
        <v>0</v>
      </c>
    </row>
    <row r="654" spans="2:9" ht="13.2">
      <c r="B654" s="369"/>
      <c r="C654" s="73"/>
      <c r="D654" s="118"/>
      <c r="E654" s="112" t="s">
        <v>85</v>
      </c>
      <c r="F654" s="13" t="s">
        <v>153</v>
      </c>
      <c r="G654" s="119"/>
      <c r="H654"/>
      <c r="I654" s="182" t="s">
        <v>13</v>
      </c>
    </row>
    <row r="655" spans="2:9" ht="13.2">
      <c r="B655" s="367" t="s">
        <v>390</v>
      </c>
      <c r="C655" s="385" t="s">
        <v>391</v>
      </c>
      <c r="D655" s="386"/>
      <c r="E655" s="387" t="s">
        <v>392</v>
      </c>
      <c r="F655" s="388"/>
      <c r="G655" s="383"/>
      <c r="H655" s="382"/>
      <c r="I655" s="380"/>
    </row>
    <row r="656" spans="2:9" ht="24">
      <c r="B656" s="367"/>
      <c r="C656" s="71"/>
      <c r="D656" s="72"/>
      <c r="E656" s="73" t="s">
        <v>241</v>
      </c>
      <c r="F656" s="30"/>
      <c r="G656" s="105"/>
      <c r="H656"/>
      <c r="I656" s="32"/>
    </row>
    <row r="657" spans="2:9" ht="13.2">
      <c r="B657" s="367" t="s">
        <v>455</v>
      </c>
      <c r="C657" s="74" t="s">
        <v>456</v>
      </c>
      <c r="D657" s="75"/>
      <c r="E657" s="122" t="s">
        <v>457</v>
      </c>
      <c r="F657" s="62" t="s">
        <v>13</v>
      </c>
      <c r="G657" s="62" t="s">
        <v>13</v>
      </c>
      <c r="H657" s="69" t="s">
        <v>13</v>
      </c>
      <c r="I657" s="65" t="s">
        <v>13</v>
      </c>
    </row>
    <row r="658" spans="2:9" ht="13.2">
      <c r="B658" s="369"/>
      <c r="C658" s="98"/>
      <c r="D658" s="99"/>
      <c r="E658" s="122" t="s">
        <v>458</v>
      </c>
      <c r="F658" s="62" t="s">
        <v>13</v>
      </c>
      <c r="G658" s="62" t="s">
        <v>13</v>
      </c>
      <c r="H658" s="69" t="s">
        <v>13</v>
      </c>
      <c r="I658" s="65" t="s">
        <v>13</v>
      </c>
    </row>
    <row r="659" spans="2:9" ht="13.2">
      <c r="B659" s="368" t="s">
        <v>459</v>
      </c>
      <c r="C659" s="103"/>
      <c r="D659" s="104"/>
      <c r="E659" s="80" t="s">
        <v>460</v>
      </c>
      <c r="F659" s="62" t="s">
        <v>3</v>
      </c>
      <c r="G659" s="68">
        <v>2</v>
      </c>
      <c r="H659" s="69">
        <f t="shared" ref="H659:H720" si="78">L659*$K$5</f>
        <v>0</v>
      </c>
      <c r="I659" s="70">
        <f t="shared" ref="I659:I661" si="79">ROUND($G659*H659,2)</f>
        <v>0</v>
      </c>
    </row>
    <row r="660" spans="2:9" ht="13.2">
      <c r="B660" s="368" t="s">
        <v>461</v>
      </c>
      <c r="C660" s="103"/>
      <c r="D660" s="104"/>
      <c r="E660" s="80" t="s">
        <v>462</v>
      </c>
      <c r="F660" s="62" t="s">
        <v>3</v>
      </c>
      <c r="G660" s="68">
        <v>6</v>
      </c>
      <c r="H660" s="69">
        <f t="shared" si="78"/>
        <v>0</v>
      </c>
      <c r="I660" s="70">
        <f t="shared" si="79"/>
        <v>0</v>
      </c>
    </row>
    <row r="661" spans="2:9" ht="13.2">
      <c r="B661" s="368" t="s">
        <v>463</v>
      </c>
      <c r="C661" s="103"/>
      <c r="D661" s="104"/>
      <c r="E661" s="80" t="s">
        <v>464</v>
      </c>
      <c r="F661" s="62" t="s">
        <v>3</v>
      </c>
      <c r="G661" s="68">
        <v>8</v>
      </c>
      <c r="H661" s="69">
        <f t="shared" si="78"/>
        <v>0</v>
      </c>
      <c r="I661" s="70">
        <f t="shared" si="79"/>
        <v>0</v>
      </c>
    </row>
    <row r="662" spans="2:9" ht="13.2">
      <c r="B662" s="369"/>
      <c r="C662" s="12"/>
      <c r="D662" s="25"/>
      <c r="E662" s="87" t="s">
        <v>404</v>
      </c>
      <c r="F662" s="13" t="s">
        <v>153</v>
      </c>
      <c r="G662" s="119"/>
      <c r="H662"/>
      <c r="I662" s="182" t="s">
        <v>13</v>
      </c>
    </row>
    <row r="663" spans="2:9" ht="13.2">
      <c r="B663" s="367" t="s">
        <v>292</v>
      </c>
      <c r="C663" s="375" t="s">
        <v>188</v>
      </c>
      <c r="D663" s="374"/>
      <c r="E663" s="376" t="s">
        <v>59</v>
      </c>
      <c r="F663" s="377"/>
      <c r="G663" s="381"/>
      <c r="H663" s="382"/>
      <c r="I663" s="380"/>
    </row>
    <row r="664" spans="2:9" ht="24">
      <c r="B664" s="367"/>
      <c r="C664" s="71"/>
      <c r="D664" s="72"/>
      <c r="E664" s="73" t="s">
        <v>241</v>
      </c>
      <c r="F664" s="30"/>
      <c r="G664" s="31"/>
      <c r="H664"/>
      <c r="I664" s="32"/>
    </row>
    <row r="665" spans="2:9" ht="13.2">
      <c r="B665" s="367" t="s">
        <v>293</v>
      </c>
      <c r="C665" s="120" t="s">
        <v>405</v>
      </c>
      <c r="D665" s="121"/>
      <c r="E665" s="122" t="s">
        <v>406</v>
      </c>
      <c r="F665" s="62" t="s">
        <v>13</v>
      </c>
      <c r="G665" s="62" t="s">
        <v>13</v>
      </c>
      <c r="H665" s="69" t="s">
        <v>13</v>
      </c>
      <c r="I665" s="65" t="s">
        <v>13</v>
      </c>
    </row>
    <row r="666" spans="2:9" ht="57">
      <c r="B666" s="368" t="s">
        <v>294</v>
      </c>
      <c r="C666" s="123"/>
      <c r="D666" s="124"/>
      <c r="E666" s="80" t="s">
        <v>407</v>
      </c>
      <c r="F666" s="81" t="s">
        <v>4</v>
      </c>
      <c r="G666" s="68">
        <f>12.9*2</f>
        <v>25.8</v>
      </c>
      <c r="H666" s="69">
        <f t="shared" si="78"/>
        <v>0</v>
      </c>
      <c r="I666" s="70">
        <f>ROUND($G666*H666,2)</f>
        <v>0</v>
      </c>
    </row>
    <row r="667" spans="2:9" ht="13.2">
      <c r="B667" s="367" t="s">
        <v>408</v>
      </c>
      <c r="C667" s="120" t="s">
        <v>189</v>
      </c>
      <c r="D667" s="121"/>
      <c r="E667" s="122" t="s">
        <v>60</v>
      </c>
      <c r="F667" s="62" t="s">
        <v>13</v>
      </c>
      <c r="G667" s="62" t="s">
        <v>13</v>
      </c>
      <c r="H667" s="69" t="s">
        <v>13</v>
      </c>
      <c r="I667" s="65" t="s">
        <v>13</v>
      </c>
    </row>
    <row r="668" spans="2:9" ht="57">
      <c r="B668" s="368" t="s">
        <v>409</v>
      </c>
      <c r="C668" s="123"/>
      <c r="D668" s="124"/>
      <c r="E668" s="80" t="s">
        <v>123</v>
      </c>
      <c r="F668" s="81" t="s">
        <v>4</v>
      </c>
      <c r="G668" s="68">
        <v>7.64</v>
      </c>
      <c r="H668" s="69">
        <f t="shared" si="78"/>
        <v>0</v>
      </c>
      <c r="I668" s="70">
        <f>ROUND($G668*H668,2)</f>
        <v>0</v>
      </c>
    </row>
    <row r="669" spans="2:9" ht="34.200000000000003">
      <c r="B669" s="368" t="s">
        <v>411</v>
      </c>
      <c r="C669" s="125"/>
      <c r="D669" s="126"/>
      <c r="E669" s="127" t="s">
        <v>144</v>
      </c>
      <c r="F669" s="128" t="s">
        <v>4</v>
      </c>
      <c r="G669" s="68">
        <f>3.6+3.6+3.6+3.6</f>
        <v>14.4</v>
      </c>
      <c r="H669" s="69">
        <f t="shared" si="78"/>
        <v>0</v>
      </c>
      <c r="I669" s="70">
        <f>ROUND($G669*H669,2)</f>
        <v>0</v>
      </c>
    </row>
    <row r="670" spans="2:9" ht="13.2">
      <c r="B670" s="369"/>
      <c r="C670" s="129"/>
      <c r="D670" s="130"/>
      <c r="E670" s="87" t="s">
        <v>61</v>
      </c>
      <c r="F670" s="13" t="s">
        <v>153</v>
      </c>
      <c r="G670" s="119"/>
      <c r="H670"/>
      <c r="I670" s="182" t="s">
        <v>13</v>
      </c>
    </row>
    <row r="671" spans="2:9" ht="13.2">
      <c r="B671" s="367" t="s">
        <v>297</v>
      </c>
      <c r="C671" s="375" t="s">
        <v>190</v>
      </c>
      <c r="D671" s="374"/>
      <c r="E671" s="376" t="s">
        <v>62</v>
      </c>
      <c r="F671" s="377"/>
      <c r="G671" s="381"/>
      <c r="H671" s="382"/>
      <c r="I671" s="380"/>
    </row>
    <row r="672" spans="2:9" ht="24">
      <c r="B672" s="367"/>
      <c r="C672" s="71"/>
      <c r="D672" s="72"/>
      <c r="E672" s="73" t="s">
        <v>241</v>
      </c>
      <c r="F672" s="30"/>
      <c r="G672" s="31"/>
      <c r="H672"/>
      <c r="I672" s="32"/>
    </row>
    <row r="673" spans="2:9" ht="13.2">
      <c r="B673" s="367" t="s">
        <v>298</v>
      </c>
      <c r="C673" s="60" t="s">
        <v>191</v>
      </c>
      <c r="D673" s="60"/>
      <c r="E673" s="90" t="s">
        <v>244</v>
      </c>
      <c r="F673" s="62" t="s">
        <v>13</v>
      </c>
      <c r="G673" s="62" t="s">
        <v>13</v>
      </c>
      <c r="H673" s="69" t="s">
        <v>13</v>
      </c>
      <c r="I673" s="65" t="s">
        <v>13</v>
      </c>
    </row>
    <row r="674" spans="2:9" ht="22.8">
      <c r="B674" s="368" t="s">
        <v>299</v>
      </c>
      <c r="C674" s="66"/>
      <c r="D674" s="66"/>
      <c r="E674" s="131" t="s">
        <v>245</v>
      </c>
      <c r="F674" s="132" t="s">
        <v>23</v>
      </c>
      <c r="G674" s="68">
        <v>741</v>
      </c>
      <c r="H674" s="69">
        <f t="shared" si="78"/>
        <v>0</v>
      </c>
      <c r="I674" s="70">
        <f t="shared" ref="I674:I675" si="80">ROUND($G674*H674,2)</f>
        <v>0</v>
      </c>
    </row>
    <row r="675" spans="2:9" ht="22.8">
      <c r="B675" s="368" t="s">
        <v>300</v>
      </c>
      <c r="C675" s="66"/>
      <c r="D675" s="66"/>
      <c r="E675" s="133" t="s">
        <v>246</v>
      </c>
      <c r="F675" s="132" t="s">
        <v>23</v>
      </c>
      <c r="G675" s="68">
        <v>647</v>
      </c>
      <c r="H675" s="69">
        <f t="shared" si="78"/>
        <v>0</v>
      </c>
      <c r="I675" s="70">
        <f t="shared" si="80"/>
        <v>0</v>
      </c>
    </row>
    <row r="676" spans="2:9" ht="13.2">
      <c r="B676" s="369"/>
      <c r="C676" s="12"/>
      <c r="D676" s="25"/>
      <c r="E676" s="87" t="s">
        <v>63</v>
      </c>
      <c r="F676" s="13"/>
      <c r="G676" s="134"/>
      <c r="H676"/>
      <c r="I676" s="182" t="s">
        <v>13</v>
      </c>
    </row>
    <row r="677" spans="2:9" ht="13.2">
      <c r="B677" s="367" t="s">
        <v>301</v>
      </c>
      <c r="C677" s="375" t="s">
        <v>192</v>
      </c>
      <c r="D677" s="374"/>
      <c r="E677" s="376" t="s">
        <v>64</v>
      </c>
      <c r="F677" s="377"/>
      <c r="G677" s="381"/>
      <c r="H677" s="382"/>
      <c r="I677" s="380"/>
    </row>
    <row r="678" spans="2:9" ht="24">
      <c r="B678" s="367"/>
      <c r="C678" s="71"/>
      <c r="D678" s="72"/>
      <c r="E678" s="73" t="s">
        <v>241</v>
      </c>
      <c r="F678" s="30"/>
      <c r="G678" s="31"/>
      <c r="H678"/>
      <c r="I678" s="32"/>
    </row>
    <row r="679" spans="2:9" ht="13.2">
      <c r="B679" s="367" t="s">
        <v>302</v>
      </c>
      <c r="C679" s="60" t="s">
        <v>193</v>
      </c>
      <c r="D679" s="60"/>
      <c r="E679" s="135" t="s">
        <v>66</v>
      </c>
      <c r="F679" s="136" t="s">
        <v>13</v>
      </c>
      <c r="G679" s="136" t="s">
        <v>13</v>
      </c>
      <c r="H679" s="69" t="s">
        <v>13</v>
      </c>
      <c r="I679" s="65" t="s">
        <v>13</v>
      </c>
    </row>
    <row r="680" spans="2:9" ht="22.8">
      <c r="B680" s="368" t="s">
        <v>303</v>
      </c>
      <c r="C680" s="83"/>
      <c r="D680" s="83"/>
      <c r="E680" s="116" t="s">
        <v>158</v>
      </c>
      <c r="F680" s="137" t="s">
        <v>16</v>
      </c>
      <c r="G680" s="68">
        <f>4.5*10.55*2</f>
        <v>94.95</v>
      </c>
      <c r="H680" s="69">
        <f t="shared" si="78"/>
        <v>0</v>
      </c>
      <c r="I680" s="70">
        <f>ROUND($G680*H680,2)</f>
        <v>0</v>
      </c>
    </row>
    <row r="681" spans="2:9" ht="13.2">
      <c r="B681" s="367" t="s">
        <v>304</v>
      </c>
      <c r="C681" s="74" t="s">
        <v>194</v>
      </c>
      <c r="D681" s="74"/>
      <c r="E681" s="135" t="s">
        <v>68</v>
      </c>
      <c r="F681" s="136" t="s">
        <v>13</v>
      </c>
      <c r="G681" s="136" t="s">
        <v>13</v>
      </c>
      <c r="H681" s="69" t="s">
        <v>13</v>
      </c>
      <c r="I681" s="65" t="s">
        <v>13</v>
      </c>
    </row>
    <row r="682" spans="2:9" ht="34.799999999999997">
      <c r="B682" s="368" t="s">
        <v>305</v>
      </c>
      <c r="C682" s="98"/>
      <c r="D682" s="98"/>
      <c r="E682" s="116" t="s">
        <v>208</v>
      </c>
      <c r="F682" s="136" t="s">
        <v>4</v>
      </c>
      <c r="G682" s="68">
        <f>10.9+11.1</f>
        <v>22</v>
      </c>
      <c r="H682" s="69">
        <f t="shared" si="78"/>
        <v>0</v>
      </c>
      <c r="I682" s="70">
        <f t="shared" ref="I682:I683" si="81">ROUND($G682*H682,2)</f>
        <v>0</v>
      </c>
    </row>
    <row r="683" spans="2:9" ht="13.2">
      <c r="B683" s="368" t="s">
        <v>306</v>
      </c>
      <c r="C683" s="101"/>
      <c r="D683" s="103"/>
      <c r="E683" s="138" t="s">
        <v>133</v>
      </c>
      <c r="F683" s="136" t="s">
        <v>3</v>
      </c>
      <c r="G683" s="117">
        <v>2</v>
      </c>
      <c r="H683" s="69">
        <f t="shared" si="78"/>
        <v>0</v>
      </c>
      <c r="I683" s="70">
        <f t="shared" si="81"/>
        <v>0</v>
      </c>
    </row>
    <row r="684" spans="2:9" ht="13.2">
      <c r="B684" s="367" t="s">
        <v>307</v>
      </c>
      <c r="C684" s="74" t="s">
        <v>169</v>
      </c>
      <c r="D684" s="75"/>
      <c r="E684" s="122" t="s">
        <v>69</v>
      </c>
      <c r="F684" s="62" t="s">
        <v>13</v>
      </c>
      <c r="G684" s="62" t="s">
        <v>13</v>
      </c>
      <c r="H684" s="69" t="s">
        <v>13</v>
      </c>
      <c r="I684" s="65" t="s">
        <v>13</v>
      </c>
    </row>
    <row r="685" spans="2:9" ht="34.200000000000003">
      <c r="B685" s="368" t="s">
        <v>308</v>
      </c>
      <c r="C685" s="98"/>
      <c r="D685" s="99"/>
      <c r="E685" s="80" t="s">
        <v>161</v>
      </c>
      <c r="F685" s="81" t="s">
        <v>16</v>
      </c>
      <c r="G685" s="68">
        <f>3.14*3.06*(0.5+3.05)/4+(8*4-0.96*8)+5*1.4+3.14*3.06*(0.5+3.05)/4+7*4.3+3.7*1.7+3.14*3.2*(0.5+3.16)/4+3.2*5.5+1.7*7+3.14*3.06*(0.5+3.05)/4+(4.5*5.3-0.96*4.5)+(3*5.4-0.96*3)</f>
        <v>164.84</v>
      </c>
      <c r="H685" s="69">
        <f t="shared" si="78"/>
        <v>0</v>
      </c>
      <c r="I685" s="70">
        <f t="shared" ref="I685:I687" si="82">ROUND($G685*H685,2)</f>
        <v>0</v>
      </c>
    </row>
    <row r="686" spans="2:9" ht="22.8">
      <c r="B686" s="368" t="s">
        <v>309</v>
      </c>
      <c r="C686" s="98"/>
      <c r="D686" s="99"/>
      <c r="E686" s="80" t="s">
        <v>70</v>
      </c>
      <c r="F686" s="62" t="s">
        <v>4</v>
      </c>
      <c r="G686" s="68">
        <f>(0.6+1.5+1.5+8)+(0.6+4.3+5.9)+(0.6+5.5+3.1)+(0.6+2+2.5+2.8+3.4+4.9)</f>
        <v>47.8</v>
      </c>
      <c r="H686" s="69">
        <f t="shared" si="78"/>
        <v>0</v>
      </c>
      <c r="I686" s="70">
        <f t="shared" si="82"/>
        <v>0</v>
      </c>
    </row>
    <row r="687" spans="2:9" ht="22.8">
      <c r="B687" s="368" t="s">
        <v>310</v>
      </c>
      <c r="C687" s="98"/>
      <c r="D687" s="98"/>
      <c r="E687" s="139" t="s">
        <v>142</v>
      </c>
      <c r="F687" s="62" t="s">
        <v>4</v>
      </c>
      <c r="G687" s="68">
        <f>1.5+2.9+6.6+7.5+1.7+2.8</f>
        <v>23</v>
      </c>
      <c r="H687" s="69">
        <f t="shared" si="78"/>
        <v>0</v>
      </c>
      <c r="I687" s="70">
        <f t="shared" si="82"/>
        <v>0</v>
      </c>
    </row>
    <row r="688" spans="2:9" ht="13.2">
      <c r="B688" s="367" t="s">
        <v>311</v>
      </c>
      <c r="C688" s="60" t="s">
        <v>195</v>
      </c>
      <c r="D688" s="60"/>
      <c r="E688" s="90" t="s">
        <v>71</v>
      </c>
      <c r="F688" s="140" t="s">
        <v>13</v>
      </c>
      <c r="G688" s="140" t="s">
        <v>13</v>
      </c>
      <c r="H688" s="69" t="s">
        <v>13</v>
      </c>
      <c r="I688" s="65" t="s">
        <v>13</v>
      </c>
    </row>
    <row r="689" spans="2:9" ht="57">
      <c r="B689" s="368" t="s">
        <v>312</v>
      </c>
      <c r="C689" s="66"/>
      <c r="D689" s="66"/>
      <c r="E689" s="141" t="s">
        <v>127</v>
      </c>
      <c r="F689" s="137" t="s">
        <v>16</v>
      </c>
      <c r="G689" s="68">
        <f>5*(10.55+1.02+1.02)*2+1.45*3.1*2+1.45*3.5*2+7.28*12.6+(0.9+0.55)*4.56*4</f>
        <v>263.22000000000003</v>
      </c>
      <c r="H689" s="69">
        <f t="shared" si="78"/>
        <v>0</v>
      </c>
      <c r="I689" s="70">
        <f t="shared" ref="I689:I690" si="83">ROUND($G689*H689,2)</f>
        <v>0</v>
      </c>
    </row>
    <row r="690" spans="2:9" ht="45.6">
      <c r="B690" s="368" t="s">
        <v>313</v>
      </c>
      <c r="C690" s="83"/>
      <c r="D690" s="83"/>
      <c r="E690" s="67" t="s">
        <v>125</v>
      </c>
      <c r="F690" s="81" t="s">
        <v>16</v>
      </c>
      <c r="G690" s="68">
        <f>(7.3+6.1+6.7+9.7)*1.66+7.64*1.48*2+(4.76+4.76)*1.88*2</f>
        <v>107.88</v>
      </c>
      <c r="H690" s="69">
        <f t="shared" si="78"/>
        <v>0</v>
      </c>
      <c r="I690" s="70">
        <f t="shared" si="83"/>
        <v>0</v>
      </c>
    </row>
    <row r="691" spans="2:9" ht="13.2">
      <c r="B691" s="367" t="s">
        <v>314</v>
      </c>
      <c r="C691" s="60" t="s">
        <v>170</v>
      </c>
      <c r="D691" s="60"/>
      <c r="E691" s="61" t="s">
        <v>72</v>
      </c>
      <c r="F691" s="81" t="s">
        <v>13</v>
      </c>
      <c r="G691" s="143" t="s">
        <v>13</v>
      </c>
      <c r="H691" s="69" t="s">
        <v>13</v>
      </c>
      <c r="I691" s="65" t="s">
        <v>13</v>
      </c>
    </row>
    <row r="692" spans="2:9" ht="34.200000000000003">
      <c r="B692" s="368" t="s">
        <v>315</v>
      </c>
      <c r="C692" s="66"/>
      <c r="D692" s="66"/>
      <c r="E692" s="144" t="s">
        <v>148</v>
      </c>
      <c r="F692" s="81" t="s">
        <v>4</v>
      </c>
      <c r="G692" s="68">
        <f>7.09+2.77+4.12</f>
        <v>13.98</v>
      </c>
      <c r="H692" s="69">
        <f t="shared" si="78"/>
        <v>0</v>
      </c>
      <c r="I692" s="70">
        <f>ROUND($G692*H692,2)</f>
        <v>0</v>
      </c>
    </row>
    <row r="693" spans="2:9" ht="22.8">
      <c r="B693" s="367" t="s">
        <v>316</v>
      </c>
      <c r="C693" s="60" t="s">
        <v>196</v>
      </c>
      <c r="D693" s="60"/>
      <c r="E693" s="145" t="s">
        <v>131</v>
      </c>
      <c r="F693" s="146" t="s">
        <v>13</v>
      </c>
      <c r="G693" s="146" t="s">
        <v>13</v>
      </c>
      <c r="H693" s="69" t="s">
        <v>13</v>
      </c>
      <c r="I693" s="65" t="s">
        <v>13</v>
      </c>
    </row>
    <row r="694" spans="2:9" ht="34.200000000000003">
      <c r="B694" s="368" t="s">
        <v>317</v>
      </c>
      <c r="C694" s="66"/>
      <c r="D694" s="66"/>
      <c r="E694" s="147" t="s">
        <v>503</v>
      </c>
      <c r="F694" s="146" t="s">
        <v>4</v>
      </c>
      <c r="G694" s="68">
        <f>13*0.5</f>
        <v>6.5</v>
      </c>
      <c r="H694" s="69">
        <f t="shared" si="78"/>
        <v>0</v>
      </c>
      <c r="I694" s="70">
        <f t="shared" ref="I694:I697" si="84">ROUND($G694*H694,2)</f>
        <v>0</v>
      </c>
    </row>
    <row r="695" spans="2:9" ht="34.200000000000003">
      <c r="B695" s="368" t="s">
        <v>318</v>
      </c>
      <c r="C695" s="66"/>
      <c r="D695" s="66"/>
      <c r="E695" s="147" t="s">
        <v>206</v>
      </c>
      <c r="F695" s="146" t="s">
        <v>4</v>
      </c>
      <c r="G695" s="68">
        <f>(17+23+14+16)*0.5</f>
        <v>35</v>
      </c>
      <c r="H695" s="69">
        <f t="shared" si="78"/>
        <v>0</v>
      </c>
      <c r="I695" s="70">
        <f t="shared" si="84"/>
        <v>0</v>
      </c>
    </row>
    <row r="696" spans="2:9" ht="22.8">
      <c r="B696" s="368" t="s">
        <v>319</v>
      </c>
      <c r="C696" s="66"/>
      <c r="D696" s="66"/>
      <c r="E696" s="147" t="s">
        <v>147</v>
      </c>
      <c r="F696" s="146" t="s">
        <v>4</v>
      </c>
      <c r="G696" s="68">
        <f>6*0.5</f>
        <v>3</v>
      </c>
      <c r="H696" s="69">
        <f t="shared" si="78"/>
        <v>0</v>
      </c>
      <c r="I696" s="70">
        <f t="shared" si="84"/>
        <v>0</v>
      </c>
    </row>
    <row r="697" spans="2:9" ht="15.6">
      <c r="B697" s="368" t="s">
        <v>504</v>
      </c>
      <c r="C697" s="83"/>
      <c r="D697" s="83"/>
      <c r="E697" s="147" t="s">
        <v>145</v>
      </c>
      <c r="F697" s="146" t="s">
        <v>76</v>
      </c>
      <c r="G697" s="68">
        <f>1.5+1.5+3</f>
        <v>6</v>
      </c>
      <c r="H697" s="69">
        <f t="shared" si="78"/>
        <v>0</v>
      </c>
      <c r="I697" s="70">
        <f t="shared" si="84"/>
        <v>0</v>
      </c>
    </row>
    <row r="698" spans="2:9" ht="22.8">
      <c r="B698" s="367" t="s">
        <v>320</v>
      </c>
      <c r="C698" s="74" t="s">
        <v>197</v>
      </c>
      <c r="D698" s="74"/>
      <c r="E698" s="148" t="s">
        <v>73</v>
      </c>
      <c r="F698" s="81" t="s">
        <v>13</v>
      </c>
      <c r="G698" s="81" t="s">
        <v>13</v>
      </c>
      <c r="H698" s="69" t="s">
        <v>13</v>
      </c>
      <c r="I698" s="65" t="s">
        <v>13</v>
      </c>
    </row>
    <row r="699" spans="2:9" ht="13.2">
      <c r="B699" s="368" t="s">
        <v>321</v>
      </c>
      <c r="C699" s="98"/>
      <c r="D699" s="98"/>
      <c r="E699" s="149" t="s">
        <v>74</v>
      </c>
      <c r="F699" s="136" t="s">
        <v>3</v>
      </c>
      <c r="G699" s="68">
        <v>2</v>
      </c>
      <c r="H699" s="69">
        <f t="shared" si="78"/>
        <v>0</v>
      </c>
      <c r="I699" s="70">
        <f t="shared" ref="I699:I700" si="85">ROUND($G699*H699,2)</f>
        <v>0</v>
      </c>
    </row>
    <row r="700" spans="2:9" ht="22.8">
      <c r="B700" s="368" t="s">
        <v>322</v>
      </c>
      <c r="C700" s="101"/>
      <c r="D700" s="101"/>
      <c r="E700" s="150" t="s">
        <v>128</v>
      </c>
      <c r="F700" s="151" t="s">
        <v>3</v>
      </c>
      <c r="G700" s="68">
        <v>16</v>
      </c>
      <c r="H700" s="69">
        <f t="shared" si="78"/>
        <v>0</v>
      </c>
      <c r="I700" s="70">
        <f t="shared" si="85"/>
        <v>0</v>
      </c>
    </row>
    <row r="701" spans="2:9" ht="13.2">
      <c r="B701" s="367" t="s">
        <v>323</v>
      </c>
      <c r="C701" s="60" t="s">
        <v>198</v>
      </c>
      <c r="D701" s="60"/>
      <c r="E701" s="152" t="s">
        <v>75</v>
      </c>
      <c r="F701" s="153" t="s">
        <v>13</v>
      </c>
      <c r="G701" s="153" t="s">
        <v>13</v>
      </c>
      <c r="H701" s="69" t="s">
        <v>13</v>
      </c>
      <c r="I701" s="65" t="s">
        <v>13</v>
      </c>
    </row>
    <row r="702" spans="2:9" ht="13.2">
      <c r="B702" s="368" t="s">
        <v>324</v>
      </c>
      <c r="C702" s="83"/>
      <c r="D702" s="83"/>
      <c r="E702" s="144" t="s">
        <v>164</v>
      </c>
      <c r="F702" s="128" t="s">
        <v>16</v>
      </c>
      <c r="G702" s="68">
        <f>(10.55+1.02*2+1.45*2)*2.5*2</f>
        <v>77.45</v>
      </c>
      <c r="H702" s="69">
        <f t="shared" si="78"/>
        <v>0</v>
      </c>
      <c r="I702" s="70">
        <f>ROUND($G702*H702,2)</f>
        <v>0</v>
      </c>
    </row>
    <row r="703" spans="2:9" ht="13.2">
      <c r="B703" s="367" t="s">
        <v>325</v>
      </c>
      <c r="C703" s="60" t="s">
        <v>199</v>
      </c>
      <c r="D703" s="60"/>
      <c r="E703" s="152" t="s">
        <v>110</v>
      </c>
      <c r="F703" s="151" t="s">
        <v>13</v>
      </c>
      <c r="G703" s="154" t="s">
        <v>13</v>
      </c>
      <c r="H703" s="69" t="s">
        <v>13</v>
      </c>
      <c r="I703" s="65" t="s">
        <v>13</v>
      </c>
    </row>
    <row r="704" spans="2:9" ht="22.8">
      <c r="B704" s="370" t="s">
        <v>326</v>
      </c>
      <c r="C704" s="66"/>
      <c r="D704" s="82"/>
      <c r="E704" s="155" t="s">
        <v>126</v>
      </c>
      <c r="F704" s="81" t="s">
        <v>16</v>
      </c>
      <c r="G704" s="68">
        <f>4.5*7.64*2</f>
        <v>68.760000000000005</v>
      </c>
      <c r="H704" s="69">
        <f t="shared" si="78"/>
        <v>0</v>
      </c>
      <c r="I704" s="70">
        <f t="shared" ref="I704:I705" si="86">ROUND($G704*H704,2)</f>
        <v>0</v>
      </c>
    </row>
    <row r="705" spans="2:9" ht="22.8">
      <c r="B705" s="370" t="s">
        <v>327</v>
      </c>
      <c r="C705" s="83"/>
      <c r="D705" s="84"/>
      <c r="E705" s="158" t="s">
        <v>143</v>
      </c>
      <c r="F705" s="81" t="s">
        <v>17</v>
      </c>
      <c r="G705" s="68">
        <f>0.22*9.45*7.64</f>
        <v>15.88</v>
      </c>
      <c r="H705" s="69">
        <f t="shared" si="78"/>
        <v>0</v>
      </c>
      <c r="I705" s="70">
        <f t="shared" si="86"/>
        <v>0</v>
      </c>
    </row>
    <row r="706" spans="2:9" ht="22.8">
      <c r="B706" s="370" t="s">
        <v>497</v>
      </c>
      <c r="C706" s="192" t="s">
        <v>362</v>
      </c>
      <c r="D706" s="193"/>
      <c r="E706" s="158" t="s">
        <v>162</v>
      </c>
      <c r="F706" s="128" t="s">
        <v>13</v>
      </c>
      <c r="G706" s="128" t="s">
        <v>13</v>
      </c>
      <c r="H706" s="69" t="s">
        <v>13</v>
      </c>
      <c r="I706" s="65" t="s">
        <v>13</v>
      </c>
    </row>
    <row r="707" spans="2:9" ht="13.2">
      <c r="B707" s="370" t="s">
        <v>328</v>
      </c>
      <c r="C707" s="83"/>
      <c r="D707" s="159"/>
      <c r="E707" s="158" t="s">
        <v>242</v>
      </c>
      <c r="F707" s="81" t="s">
        <v>3</v>
      </c>
      <c r="G707" s="68">
        <v>4</v>
      </c>
      <c r="H707" s="69">
        <f t="shared" si="78"/>
        <v>0</v>
      </c>
      <c r="I707" s="70">
        <f>ROUND($G707*H707,2)</f>
        <v>0</v>
      </c>
    </row>
    <row r="708" spans="2:9" ht="13.2">
      <c r="B708" s="369"/>
      <c r="C708" s="12"/>
      <c r="D708" s="25"/>
      <c r="E708" s="14" t="s">
        <v>77</v>
      </c>
      <c r="F708" s="13"/>
      <c r="G708" s="96"/>
      <c r="H708"/>
      <c r="I708" s="182" t="s">
        <v>13</v>
      </c>
    </row>
    <row r="709" spans="2:9" ht="13.2">
      <c r="B709" s="367" t="s">
        <v>465</v>
      </c>
      <c r="C709" s="375" t="s">
        <v>466</v>
      </c>
      <c r="D709" s="374"/>
      <c r="E709" s="376" t="s">
        <v>467</v>
      </c>
      <c r="F709" s="377"/>
      <c r="G709" s="381"/>
      <c r="H709" s="382"/>
      <c r="I709" s="409"/>
    </row>
    <row r="710" spans="2:9" ht="24">
      <c r="B710" s="369"/>
      <c r="C710" s="71"/>
      <c r="D710" s="72"/>
      <c r="E710" s="73" t="s">
        <v>241</v>
      </c>
      <c r="F710" s="30"/>
      <c r="G710" s="105"/>
      <c r="H710"/>
      <c r="I710" s="207"/>
    </row>
    <row r="711" spans="2:9" ht="13.2">
      <c r="B711" s="367" t="s">
        <v>468</v>
      </c>
      <c r="C711" s="74" t="s">
        <v>466</v>
      </c>
      <c r="D711" s="74"/>
      <c r="E711" s="90" t="s">
        <v>469</v>
      </c>
      <c r="F711" s="136" t="s">
        <v>13</v>
      </c>
      <c r="G711" s="81" t="s">
        <v>13</v>
      </c>
      <c r="H711" s="69" t="s">
        <v>13</v>
      </c>
      <c r="I711" s="65" t="s">
        <v>13</v>
      </c>
    </row>
    <row r="712" spans="2:9" ht="13.2">
      <c r="B712" s="368" t="s">
        <v>470</v>
      </c>
      <c r="C712" s="101"/>
      <c r="D712" s="101"/>
      <c r="E712" s="90" t="s">
        <v>505</v>
      </c>
      <c r="F712" s="62" t="s">
        <v>2</v>
      </c>
      <c r="G712" s="68">
        <v>1</v>
      </c>
      <c r="H712" s="69">
        <f t="shared" si="78"/>
        <v>0</v>
      </c>
      <c r="I712" s="70">
        <f>ROUND($G712*H712,2)</f>
        <v>0</v>
      </c>
    </row>
    <row r="713" spans="2:9" ht="13.2">
      <c r="B713" s="367" t="s">
        <v>472</v>
      </c>
      <c r="C713" s="74" t="s">
        <v>473</v>
      </c>
      <c r="D713" s="74"/>
      <c r="E713" s="90" t="s">
        <v>474</v>
      </c>
      <c r="F713" s="136" t="s">
        <v>13</v>
      </c>
      <c r="G713" s="81" t="s">
        <v>13</v>
      </c>
      <c r="H713" s="69" t="s">
        <v>13</v>
      </c>
      <c r="I713" s="65" t="s">
        <v>13</v>
      </c>
    </row>
    <row r="714" spans="2:9" ht="13.2">
      <c r="B714" s="368" t="s">
        <v>475</v>
      </c>
      <c r="C714" s="101"/>
      <c r="D714" s="101"/>
      <c r="E714" s="90" t="s">
        <v>476</v>
      </c>
      <c r="F714" s="62" t="s">
        <v>15</v>
      </c>
      <c r="G714" s="68">
        <v>120</v>
      </c>
      <c r="H714" s="69">
        <f t="shared" si="78"/>
        <v>0</v>
      </c>
      <c r="I714" s="70">
        <f>ROUND($G714*H714,2)</f>
        <v>0</v>
      </c>
    </row>
    <row r="715" spans="2:9" ht="13.2">
      <c r="B715" s="367" t="s">
        <v>477</v>
      </c>
      <c r="C715" s="74" t="s">
        <v>478</v>
      </c>
      <c r="D715" s="74"/>
      <c r="E715" s="90" t="s">
        <v>479</v>
      </c>
      <c r="F715" s="136" t="s">
        <v>13</v>
      </c>
      <c r="G715" s="81" t="s">
        <v>13</v>
      </c>
      <c r="H715" s="69" t="s">
        <v>13</v>
      </c>
      <c r="I715" s="65" t="s">
        <v>13</v>
      </c>
    </row>
    <row r="716" spans="2:9" ht="13.2">
      <c r="B716" s="368" t="s">
        <v>480</v>
      </c>
      <c r="C716" s="101"/>
      <c r="D716" s="101"/>
      <c r="E716" s="90" t="s">
        <v>481</v>
      </c>
      <c r="F716" s="62" t="s">
        <v>17</v>
      </c>
      <c r="G716" s="68">
        <v>12</v>
      </c>
      <c r="H716" s="69">
        <f t="shared" si="78"/>
        <v>0</v>
      </c>
      <c r="I716" s="70">
        <f>ROUND($G716*H716,2)</f>
        <v>0</v>
      </c>
    </row>
    <row r="717" spans="2:9" ht="13.2">
      <c r="B717" s="367" t="s">
        <v>482</v>
      </c>
      <c r="C717" s="74" t="s">
        <v>483</v>
      </c>
      <c r="D717" s="74"/>
      <c r="E717" s="90" t="s">
        <v>484</v>
      </c>
      <c r="F717" s="136" t="s">
        <v>13</v>
      </c>
      <c r="G717" s="81" t="s">
        <v>13</v>
      </c>
      <c r="H717" s="69" t="s">
        <v>13</v>
      </c>
      <c r="I717" s="65" t="s">
        <v>13</v>
      </c>
    </row>
    <row r="718" spans="2:9" ht="13.2">
      <c r="B718" s="368" t="s">
        <v>485</v>
      </c>
      <c r="C718" s="101"/>
      <c r="D718" s="101"/>
      <c r="E718" s="90" t="s">
        <v>486</v>
      </c>
      <c r="F718" s="62" t="s">
        <v>4</v>
      </c>
      <c r="G718" s="68">
        <v>85</v>
      </c>
      <c r="H718" s="69">
        <f t="shared" si="78"/>
        <v>0</v>
      </c>
      <c r="I718" s="70">
        <f>ROUND($G718*H718,2)</f>
        <v>0</v>
      </c>
    </row>
    <row r="719" spans="2:9" ht="13.2">
      <c r="B719" s="367" t="s">
        <v>487</v>
      </c>
      <c r="C719" s="74" t="s">
        <v>488</v>
      </c>
      <c r="D719" s="74"/>
      <c r="E719" s="90" t="s">
        <v>489</v>
      </c>
      <c r="F719" s="136" t="s">
        <v>13</v>
      </c>
      <c r="G719" s="81" t="s">
        <v>13</v>
      </c>
      <c r="H719" s="69" t="s">
        <v>13</v>
      </c>
      <c r="I719" s="65" t="s">
        <v>13</v>
      </c>
    </row>
    <row r="720" spans="2:9" ht="22.8">
      <c r="B720" s="368" t="s">
        <v>490</v>
      </c>
      <c r="C720" s="101"/>
      <c r="D720" s="101"/>
      <c r="E720" s="90" t="s">
        <v>491</v>
      </c>
      <c r="F720" s="62" t="s">
        <v>17</v>
      </c>
      <c r="G720" s="68">
        <v>19</v>
      </c>
      <c r="H720" s="69">
        <f t="shared" si="78"/>
        <v>0</v>
      </c>
      <c r="I720" s="70">
        <f>ROUND($G720*H720,2)</f>
        <v>0</v>
      </c>
    </row>
    <row r="721" spans="2:9" ht="12">
      <c r="B721" s="369"/>
      <c r="C721" s="12"/>
      <c r="D721" s="25"/>
      <c r="E721" s="87" t="s">
        <v>492</v>
      </c>
      <c r="F721" s="13"/>
      <c r="G721" s="96"/>
      <c r="H721" s="194" t="s">
        <v>13</v>
      </c>
      <c r="I721" s="34" t="s">
        <v>13</v>
      </c>
    </row>
    <row r="722" spans="2:9" ht="13.8">
      <c r="B722" s="367"/>
      <c r="C722" s="571" t="s">
        <v>332</v>
      </c>
      <c r="D722" s="572"/>
      <c r="E722" s="573"/>
      <c r="F722" s="7"/>
      <c r="G722" s="195"/>
      <c r="H722" s="33" t="s">
        <v>13</v>
      </c>
      <c r="I722" s="10">
        <f>SUM(I591:I720)</f>
        <v>0</v>
      </c>
    </row>
    <row r="723" spans="2:9" ht="26.4">
      <c r="B723" s="410" t="s">
        <v>334</v>
      </c>
      <c r="C723" s="558" t="s">
        <v>506</v>
      </c>
      <c r="D723" s="559"/>
      <c r="E723" s="560"/>
      <c r="F723" s="560"/>
      <c r="G723" s="560"/>
      <c r="H723" s="560"/>
      <c r="I723" s="561"/>
    </row>
    <row r="724" spans="2:9" ht="24">
      <c r="B724" s="371" t="s">
        <v>0</v>
      </c>
      <c r="C724" s="404" t="s">
        <v>210</v>
      </c>
      <c r="D724" s="404" t="s">
        <v>333</v>
      </c>
      <c r="E724" s="405" t="s">
        <v>203</v>
      </c>
      <c r="F724" s="310" t="s">
        <v>204</v>
      </c>
      <c r="G724" s="405" t="s">
        <v>1</v>
      </c>
      <c r="H724" s="41" t="s">
        <v>111</v>
      </c>
      <c r="I724" s="406" t="s">
        <v>112</v>
      </c>
    </row>
    <row r="725" spans="2:9" ht="13.2">
      <c r="B725" s="369"/>
      <c r="C725" s="128"/>
      <c r="D725" s="196"/>
      <c r="E725" s="87" t="s">
        <v>438</v>
      </c>
      <c r="F725" s="13" t="s">
        <v>153</v>
      </c>
      <c r="G725" s="37"/>
      <c r="H725" s="181"/>
      <c r="I725" s="182" t="s">
        <v>13</v>
      </c>
    </row>
    <row r="726" spans="2:9" ht="13.2">
      <c r="B726" s="367" t="s">
        <v>439</v>
      </c>
      <c r="C726" s="375" t="s">
        <v>440</v>
      </c>
      <c r="D726" s="374"/>
      <c r="E726" s="376" t="s">
        <v>441</v>
      </c>
      <c r="F726" s="377"/>
      <c r="G726" s="381"/>
      <c r="H726" s="397"/>
      <c r="I726" s="380"/>
    </row>
    <row r="727" spans="2:9" ht="24">
      <c r="B727" s="367"/>
      <c r="C727" s="71"/>
      <c r="D727" s="72"/>
      <c r="E727" s="73" t="s">
        <v>241</v>
      </c>
      <c r="F727" s="30"/>
      <c r="G727" s="31"/>
      <c r="H727" s="38"/>
      <c r="I727" s="32"/>
    </row>
    <row r="728" spans="2:9" ht="13.2">
      <c r="B728" s="367" t="s">
        <v>248</v>
      </c>
      <c r="C728" s="60" t="s">
        <v>166</v>
      </c>
      <c r="D728" s="60"/>
      <c r="E728" s="61" t="s">
        <v>116</v>
      </c>
      <c r="F728" s="62" t="s">
        <v>13</v>
      </c>
      <c r="G728" s="63" t="s">
        <v>13</v>
      </c>
      <c r="H728" s="64"/>
      <c r="I728" s="65" t="s">
        <v>13</v>
      </c>
    </row>
    <row r="729" spans="2:9" ht="22.8">
      <c r="B729" s="368" t="s">
        <v>249</v>
      </c>
      <c r="C729" s="66"/>
      <c r="D729" s="66"/>
      <c r="E729" s="67" t="s">
        <v>160</v>
      </c>
      <c r="F729" s="62" t="s">
        <v>17</v>
      </c>
      <c r="G729" s="68">
        <f>1.07*12.6*2</f>
        <v>26.96</v>
      </c>
      <c r="H729" s="69">
        <f t="shared" ref="H729:H791" si="87">L729*$K$5</f>
        <v>0</v>
      </c>
      <c r="I729" s="70">
        <f>ROUND($G729*H729,2)</f>
        <v>0</v>
      </c>
    </row>
    <row r="730" spans="2:9" ht="13.2">
      <c r="B730" s="367" t="s">
        <v>250</v>
      </c>
      <c r="C730" s="375" t="s">
        <v>172</v>
      </c>
      <c r="D730" s="374"/>
      <c r="E730" s="376" t="s">
        <v>20</v>
      </c>
      <c r="F730" s="377"/>
      <c r="G730" s="381"/>
      <c r="H730" s="381"/>
      <c r="I730" s="380"/>
    </row>
    <row r="731" spans="2:9" ht="24">
      <c r="B731" s="367"/>
      <c r="C731" s="71"/>
      <c r="D731" s="72"/>
      <c r="E731" s="73" t="s">
        <v>241</v>
      </c>
      <c r="F731" s="30"/>
      <c r="G731" s="31"/>
      <c r="H731" s="31"/>
      <c r="I731" s="32"/>
    </row>
    <row r="732" spans="2:9" ht="13.2">
      <c r="B732" s="367" t="s">
        <v>251</v>
      </c>
      <c r="C732" s="74" t="s">
        <v>173</v>
      </c>
      <c r="D732" s="75"/>
      <c r="E732" s="76" t="s">
        <v>115</v>
      </c>
      <c r="F732" s="62" t="s">
        <v>13</v>
      </c>
      <c r="G732" s="63" t="s">
        <v>13</v>
      </c>
      <c r="H732" s="63" t="s">
        <v>13</v>
      </c>
      <c r="I732" s="65" t="s">
        <v>13</v>
      </c>
    </row>
    <row r="733" spans="2:9" ht="13.2">
      <c r="B733" s="369"/>
      <c r="C733" s="77"/>
      <c r="D733" s="78"/>
      <c r="E733" s="79" t="s">
        <v>117</v>
      </c>
      <c r="F733" s="62" t="s">
        <v>13</v>
      </c>
      <c r="G733" s="63" t="s">
        <v>13</v>
      </c>
      <c r="H733" s="63" t="s">
        <v>13</v>
      </c>
      <c r="I733" s="65" t="s">
        <v>13</v>
      </c>
    </row>
    <row r="734" spans="2:9" ht="13.2">
      <c r="B734" s="368" t="s">
        <v>252</v>
      </c>
      <c r="C734" s="77"/>
      <c r="D734" s="78"/>
      <c r="E734" s="80" t="s">
        <v>134</v>
      </c>
      <c r="F734" s="81" t="s">
        <v>23</v>
      </c>
      <c r="G734" s="68">
        <f>26838+43950+3356</f>
        <v>74144</v>
      </c>
      <c r="H734" s="69">
        <f t="shared" si="87"/>
        <v>0</v>
      </c>
      <c r="I734" s="70">
        <f>ROUND($G734*H734,2)</f>
        <v>0</v>
      </c>
    </row>
    <row r="735" spans="2:9" ht="13.2">
      <c r="B735" s="368" t="s">
        <v>253</v>
      </c>
      <c r="C735" s="66"/>
      <c r="D735" s="82"/>
      <c r="E735" s="80" t="s">
        <v>163</v>
      </c>
      <c r="F735" s="81" t="s">
        <v>23</v>
      </c>
      <c r="G735" s="68">
        <f>184+101+101+184</f>
        <v>570</v>
      </c>
      <c r="H735" s="69">
        <f t="shared" si="87"/>
        <v>0</v>
      </c>
      <c r="I735" s="70">
        <f>ROUND($G735*H735,2)</f>
        <v>0</v>
      </c>
    </row>
    <row r="736" spans="2:9" ht="13.2">
      <c r="B736" s="368" t="s">
        <v>254</v>
      </c>
      <c r="C736" s="66"/>
      <c r="D736" s="82"/>
      <c r="E736" s="80" t="s">
        <v>118</v>
      </c>
      <c r="F736" s="81" t="s">
        <v>23</v>
      </c>
      <c r="G736" s="68">
        <v>1662</v>
      </c>
      <c r="H736" s="69">
        <f t="shared" si="87"/>
        <v>0</v>
      </c>
      <c r="I736" s="70">
        <f>ROUND($G736*H736,2)</f>
        <v>0</v>
      </c>
    </row>
    <row r="737" spans="2:9" ht="13.2">
      <c r="B737" s="368" t="s">
        <v>255</v>
      </c>
      <c r="C737" s="83"/>
      <c r="D737" s="84"/>
      <c r="E737" s="85" t="s">
        <v>205</v>
      </c>
      <c r="F737" s="81" t="s">
        <v>3</v>
      </c>
      <c r="G737" s="68">
        <v>24</v>
      </c>
      <c r="H737" s="69">
        <f t="shared" si="87"/>
        <v>0</v>
      </c>
      <c r="I737" s="70">
        <f>ROUND($G737*H737,2)</f>
        <v>0</v>
      </c>
    </row>
    <row r="738" spans="2:9" ht="13.2">
      <c r="B738" s="369"/>
      <c r="C738" s="83"/>
      <c r="D738" s="84"/>
      <c r="E738" s="87" t="s">
        <v>26</v>
      </c>
      <c r="F738" s="81" t="s">
        <v>153</v>
      </c>
      <c r="G738" s="37"/>
      <c r="H738" s="182" t="s">
        <v>13</v>
      </c>
      <c r="I738" s="182" t="s">
        <v>13</v>
      </c>
    </row>
    <row r="739" spans="2:9" ht="13.2">
      <c r="B739" s="367" t="s">
        <v>256</v>
      </c>
      <c r="C739" s="375" t="s">
        <v>174</v>
      </c>
      <c r="D739" s="374"/>
      <c r="E739" s="376" t="s">
        <v>27</v>
      </c>
      <c r="F739" s="377"/>
      <c r="G739" s="381"/>
      <c r="H739" s="380"/>
      <c r="I739" s="380"/>
    </row>
    <row r="740" spans="2:9" ht="24">
      <c r="B740" s="367"/>
      <c r="C740" s="71"/>
      <c r="D740" s="72"/>
      <c r="E740" s="73" t="s">
        <v>241</v>
      </c>
      <c r="F740" s="30"/>
      <c r="G740" s="31"/>
      <c r="H740" s="32"/>
      <c r="I740" s="32"/>
    </row>
    <row r="741" spans="2:9" ht="13.2">
      <c r="B741" s="367" t="s">
        <v>257</v>
      </c>
      <c r="C741" s="74" t="s">
        <v>175</v>
      </c>
      <c r="D741" s="75"/>
      <c r="E741" s="76" t="s">
        <v>29</v>
      </c>
      <c r="F741" s="62" t="s">
        <v>13</v>
      </c>
      <c r="G741" s="62" t="s">
        <v>13</v>
      </c>
      <c r="H741" s="65" t="s">
        <v>13</v>
      </c>
      <c r="I741" s="65" t="s">
        <v>13</v>
      </c>
    </row>
    <row r="742" spans="2:9" ht="22.8">
      <c r="B742" s="368" t="s">
        <v>258</v>
      </c>
      <c r="C742" s="88"/>
      <c r="D742" s="89"/>
      <c r="E742" s="76" t="s">
        <v>135</v>
      </c>
      <c r="F742" s="62" t="s">
        <v>17</v>
      </c>
      <c r="G742" s="68">
        <f>101.6</f>
        <v>101.6</v>
      </c>
      <c r="H742" s="69">
        <f t="shared" si="87"/>
        <v>0</v>
      </c>
      <c r="I742" s="70">
        <f>ROUND($G742*H742,2)</f>
        <v>0</v>
      </c>
    </row>
    <row r="743" spans="2:9" ht="13.2">
      <c r="B743" s="367" t="s">
        <v>259</v>
      </c>
      <c r="C743" s="66" t="s">
        <v>176</v>
      </c>
      <c r="D743" s="66"/>
      <c r="E743" s="90" t="s">
        <v>31</v>
      </c>
      <c r="F743" s="81" t="s">
        <v>13</v>
      </c>
      <c r="G743" s="81" t="s">
        <v>13</v>
      </c>
      <c r="H743" s="65" t="s">
        <v>13</v>
      </c>
      <c r="I743" s="65" t="s">
        <v>13</v>
      </c>
    </row>
    <row r="744" spans="2:9" ht="13.2">
      <c r="B744" s="368" t="s">
        <v>260</v>
      </c>
      <c r="C744" s="66"/>
      <c r="D744" s="66"/>
      <c r="E744" s="67" t="s">
        <v>165</v>
      </c>
      <c r="F744" s="62" t="s">
        <v>17</v>
      </c>
      <c r="G744" s="68">
        <f>3.1+1.7+1.7+3.1</f>
        <v>9.6</v>
      </c>
      <c r="H744" s="69">
        <f t="shared" si="87"/>
        <v>0</v>
      </c>
      <c r="I744" s="70">
        <f>ROUND($G744*H744,2)</f>
        <v>0</v>
      </c>
    </row>
    <row r="745" spans="2:9" ht="13.2">
      <c r="B745" s="367" t="s">
        <v>261</v>
      </c>
      <c r="C745" s="66" t="s">
        <v>177</v>
      </c>
      <c r="D745" s="66"/>
      <c r="E745" s="90" t="s">
        <v>129</v>
      </c>
      <c r="F745" s="81" t="s">
        <v>13</v>
      </c>
      <c r="G745" s="81" t="s">
        <v>13</v>
      </c>
      <c r="H745" s="65" t="s">
        <v>13</v>
      </c>
      <c r="I745" s="49" t="s">
        <v>13</v>
      </c>
    </row>
    <row r="746" spans="2:9" ht="22.8">
      <c r="B746" s="368" t="s">
        <v>262</v>
      </c>
      <c r="C746" s="66"/>
      <c r="D746" s="66"/>
      <c r="E746" s="67" t="s">
        <v>136</v>
      </c>
      <c r="F746" s="62" t="s">
        <v>17</v>
      </c>
      <c r="G746" s="68">
        <v>115</v>
      </c>
      <c r="H746" s="69">
        <f t="shared" si="87"/>
        <v>0</v>
      </c>
      <c r="I746" s="70">
        <f>ROUND($G746*H746,2)</f>
        <v>0</v>
      </c>
    </row>
    <row r="747" spans="2:9" ht="13.2">
      <c r="B747" s="367" t="s">
        <v>263</v>
      </c>
      <c r="C747" s="74" t="s">
        <v>178</v>
      </c>
      <c r="D747" s="74"/>
      <c r="E747" s="90" t="s">
        <v>34</v>
      </c>
      <c r="F747" s="62" t="s">
        <v>13</v>
      </c>
      <c r="G747" s="62" t="s">
        <v>13</v>
      </c>
      <c r="H747" s="65" t="s">
        <v>13</v>
      </c>
      <c r="I747" s="65" t="s">
        <v>13</v>
      </c>
    </row>
    <row r="748" spans="2:9" ht="22.8">
      <c r="B748" s="368" t="s">
        <v>264</v>
      </c>
      <c r="C748" s="91"/>
      <c r="D748" s="91"/>
      <c r="E748" s="92" t="s">
        <v>146</v>
      </c>
      <c r="F748" s="62" t="s">
        <v>17</v>
      </c>
      <c r="G748" s="68">
        <v>10</v>
      </c>
      <c r="H748" s="69">
        <f t="shared" si="87"/>
        <v>0</v>
      </c>
      <c r="I748" s="70">
        <f>ROUND($G748*H748,2)</f>
        <v>0</v>
      </c>
    </row>
    <row r="749" spans="2:9" ht="13.2">
      <c r="B749" s="367" t="s">
        <v>265</v>
      </c>
      <c r="C749" s="60" t="s">
        <v>179</v>
      </c>
      <c r="D749" s="60"/>
      <c r="E749" s="90" t="s">
        <v>130</v>
      </c>
      <c r="F749" s="62" t="s">
        <v>13</v>
      </c>
      <c r="G749" s="62" t="s">
        <v>13</v>
      </c>
      <c r="H749" s="65" t="s">
        <v>13</v>
      </c>
      <c r="I749" s="65" t="s">
        <v>13</v>
      </c>
    </row>
    <row r="750" spans="2:9" ht="22.8">
      <c r="B750" s="368" t="s">
        <v>266</v>
      </c>
      <c r="C750" s="83"/>
      <c r="D750" s="83"/>
      <c r="E750" s="90" t="s">
        <v>137</v>
      </c>
      <c r="F750" s="62" t="s">
        <v>17</v>
      </c>
      <c r="G750" s="93">
        <v>130</v>
      </c>
      <c r="H750" s="69">
        <f t="shared" si="87"/>
        <v>0</v>
      </c>
      <c r="I750" s="70">
        <f>ROUND($G750*H750,2)</f>
        <v>0</v>
      </c>
    </row>
    <row r="751" spans="2:9" ht="13.2">
      <c r="B751" s="367" t="s">
        <v>267</v>
      </c>
      <c r="C751" s="60" t="s">
        <v>180</v>
      </c>
      <c r="D751" s="60"/>
      <c r="E751" s="90" t="s">
        <v>119</v>
      </c>
      <c r="F751" s="81" t="s">
        <v>13</v>
      </c>
      <c r="G751" s="81" t="s">
        <v>13</v>
      </c>
      <c r="H751" s="65" t="s">
        <v>13</v>
      </c>
      <c r="I751" s="65" t="s">
        <v>13</v>
      </c>
    </row>
    <row r="752" spans="2:9" ht="22.8">
      <c r="B752" s="368" t="s">
        <v>268</v>
      </c>
      <c r="C752" s="83"/>
      <c r="D752" s="83"/>
      <c r="E752" s="92" t="s">
        <v>138</v>
      </c>
      <c r="F752" s="94" t="s">
        <v>363</v>
      </c>
      <c r="G752" s="68">
        <f>2*8</f>
        <v>16</v>
      </c>
      <c r="H752" s="69">
        <f t="shared" si="87"/>
        <v>0</v>
      </c>
      <c r="I752" s="70">
        <f>ROUND($G752*H752,2)</f>
        <v>0</v>
      </c>
    </row>
    <row r="753" spans="2:9" ht="13.2">
      <c r="B753" s="369"/>
      <c r="C753" s="62"/>
      <c r="D753" s="95"/>
      <c r="E753" s="87" t="s">
        <v>39</v>
      </c>
      <c r="F753" s="62" t="s">
        <v>153</v>
      </c>
      <c r="G753" s="96"/>
      <c r="H753" s="65" t="s">
        <v>13</v>
      </c>
      <c r="I753" s="182" t="s">
        <v>13</v>
      </c>
    </row>
    <row r="754" spans="2:9" ht="13.2">
      <c r="B754" s="367" t="s">
        <v>269</v>
      </c>
      <c r="C754" s="74" t="s">
        <v>181</v>
      </c>
      <c r="D754" s="75"/>
      <c r="E754" s="97" t="s">
        <v>139</v>
      </c>
      <c r="F754" s="62" t="s">
        <v>13</v>
      </c>
      <c r="G754" s="62" t="s">
        <v>13</v>
      </c>
      <c r="H754" s="65" t="s">
        <v>13</v>
      </c>
      <c r="I754" s="65" t="s">
        <v>13</v>
      </c>
    </row>
    <row r="755" spans="2:9" ht="22.8">
      <c r="B755" s="368" t="s">
        <v>270</v>
      </c>
      <c r="C755" s="98"/>
      <c r="D755" s="99"/>
      <c r="E755" s="100" t="s">
        <v>140</v>
      </c>
      <c r="F755" s="62" t="s">
        <v>17</v>
      </c>
      <c r="G755" s="68">
        <f>17.6</f>
        <v>17.600000000000001</v>
      </c>
      <c r="H755" s="69">
        <f t="shared" si="87"/>
        <v>0</v>
      </c>
      <c r="I755" s="70">
        <f>ROUND($G755*H755,2)</f>
        <v>0</v>
      </c>
    </row>
    <row r="756" spans="2:9" ht="22.8">
      <c r="B756" s="368" t="s">
        <v>271</v>
      </c>
      <c r="C756" s="103"/>
      <c r="D756" s="104"/>
      <c r="E756" s="100" t="s">
        <v>141</v>
      </c>
      <c r="F756" s="62" t="s">
        <v>17</v>
      </c>
      <c r="G756" s="68">
        <f>0.08*(12.1+12.1)</f>
        <v>1.94</v>
      </c>
      <c r="H756" s="69">
        <f t="shared" si="87"/>
        <v>0</v>
      </c>
      <c r="I756" s="70">
        <f>ROUND($G756*H756,2)</f>
        <v>0</v>
      </c>
    </row>
    <row r="757" spans="2:9" ht="13.2">
      <c r="B757" s="369"/>
      <c r="C757" s="103"/>
      <c r="D757" s="104"/>
      <c r="E757" s="87" t="s">
        <v>43</v>
      </c>
      <c r="F757" s="62" t="s">
        <v>153</v>
      </c>
      <c r="G757" s="39"/>
      <c r="H757" s="182" t="s">
        <v>13</v>
      </c>
      <c r="I757" s="182" t="s">
        <v>13</v>
      </c>
    </row>
    <row r="758" spans="2:9" ht="13.2">
      <c r="B758" s="367" t="s">
        <v>272</v>
      </c>
      <c r="C758" s="375" t="s">
        <v>200</v>
      </c>
      <c r="D758" s="374"/>
      <c r="E758" s="376" t="s">
        <v>44</v>
      </c>
      <c r="F758" s="377"/>
      <c r="G758" s="383"/>
      <c r="H758" s="380"/>
      <c r="I758" s="380"/>
    </row>
    <row r="759" spans="2:9" ht="24">
      <c r="B759" s="367"/>
      <c r="C759" s="71"/>
      <c r="D759" s="72"/>
      <c r="E759" s="73" t="s">
        <v>241</v>
      </c>
      <c r="F759" s="30"/>
      <c r="G759" s="105"/>
      <c r="H759" s="32"/>
      <c r="I759" s="32"/>
    </row>
    <row r="760" spans="2:9" ht="13.2">
      <c r="B760" s="367" t="s">
        <v>273</v>
      </c>
      <c r="C760" s="74" t="s">
        <v>167</v>
      </c>
      <c r="D760" s="74"/>
      <c r="E760" s="90" t="s">
        <v>132</v>
      </c>
      <c r="F760" s="62" t="s">
        <v>13</v>
      </c>
      <c r="G760" s="81" t="s">
        <v>13</v>
      </c>
      <c r="H760" s="65" t="s">
        <v>13</v>
      </c>
      <c r="I760" s="65" t="s">
        <v>13</v>
      </c>
    </row>
    <row r="761" spans="2:9" ht="22.8">
      <c r="B761" s="368" t="s">
        <v>330</v>
      </c>
      <c r="C761" s="106"/>
      <c r="D761" s="106"/>
      <c r="E761" s="67" t="s">
        <v>159</v>
      </c>
      <c r="F761" s="62" t="s">
        <v>23</v>
      </c>
      <c r="G761" s="68">
        <v>386</v>
      </c>
      <c r="H761" s="69">
        <f t="shared" si="87"/>
        <v>0</v>
      </c>
      <c r="I761" s="70">
        <f>ROUND($G761*H761,2)</f>
        <v>0</v>
      </c>
    </row>
    <row r="762" spans="2:9" ht="22.8">
      <c r="B762" s="368" t="s">
        <v>454</v>
      </c>
      <c r="C762" s="74" t="s">
        <v>355</v>
      </c>
      <c r="D762" s="74"/>
      <c r="E762" s="110" t="s">
        <v>357</v>
      </c>
      <c r="F762" s="170" t="s">
        <v>13</v>
      </c>
      <c r="G762" s="81" t="s">
        <v>13</v>
      </c>
      <c r="H762" s="49" t="s">
        <v>13</v>
      </c>
      <c r="I762" s="49" t="s">
        <v>13</v>
      </c>
    </row>
    <row r="763" spans="2:9" ht="22.8">
      <c r="B763" s="368" t="s">
        <v>274</v>
      </c>
      <c r="C763" s="206"/>
      <c r="D763" s="206"/>
      <c r="E763" s="90" t="s">
        <v>154</v>
      </c>
      <c r="F763" s="109" t="s">
        <v>15</v>
      </c>
      <c r="G763" s="68">
        <f>(18+18+10+10)*1.4</f>
        <v>78.400000000000006</v>
      </c>
      <c r="H763" s="69">
        <f t="shared" si="87"/>
        <v>0</v>
      </c>
      <c r="I763" s="70">
        <f>ROUND($G763*H763,2)</f>
        <v>0</v>
      </c>
    </row>
    <row r="764" spans="2:9" ht="13.2">
      <c r="B764" s="369"/>
      <c r="C764" s="12"/>
      <c r="D764" s="25"/>
      <c r="E764" s="87" t="s">
        <v>46</v>
      </c>
      <c r="F764" s="13" t="s">
        <v>153</v>
      </c>
      <c r="G764" s="96"/>
      <c r="H764" s="182" t="s">
        <v>13</v>
      </c>
      <c r="I764" s="182" t="s">
        <v>13</v>
      </c>
    </row>
    <row r="765" spans="2:9" ht="13.2">
      <c r="B765" s="367" t="s">
        <v>275</v>
      </c>
      <c r="C765" s="375" t="s">
        <v>201</v>
      </c>
      <c r="D765" s="374"/>
      <c r="E765" s="407" t="s">
        <v>380</v>
      </c>
      <c r="F765" s="377"/>
      <c r="G765" s="381"/>
      <c r="H765" s="380"/>
      <c r="I765" s="380"/>
    </row>
    <row r="766" spans="2:9" ht="24">
      <c r="B766" s="367"/>
      <c r="C766" s="71"/>
      <c r="D766" s="72"/>
      <c r="E766" s="73" t="s">
        <v>241</v>
      </c>
      <c r="F766" s="30"/>
      <c r="G766" s="31"/>
      <c r="H766" s="32"/>
      <c r="I766" s="32"/>
    </row>
    <row r="767" spans="2:9" ht="13.2">
      <c r="B767" s="367" t="s">
        <v>276</v>
      </c>
      <c r="C767" s="60" t="s">
        <v>182</v>
      </c>
      <c r="D767" s="60"/>
      <c r="E767" s="90" t="s">
        <v>49</v>
      </c>
      <c r="F767" s="62" t="s">
        <v>13</v>
      </c>
      <c r="G767" s="62" t="s">
        <v>13</v>
      </c>
      <c r="H767" s="65" t="s">
        <v>13</v>
      </c>
      <c r="I767" s="65" t="s">
        <v>13</v>
      </c>
    </row>
    <row r="768" spans="2:9" ht="34.200000000000003">
      <c r="B768" s="368" t="s">
        <v>277</v>
      </c>
      <c r="C768" s="66"/>
      <c r="D768" s="66"/>
      <c r="E768" s="110" t="s">
        <v>207</v>
      </c>
      <c r="F768" s="62" t="s">
        <v>15</v>
      </c>
      <c r="G768" s="68">
        <v>535</v>
      </c>
      <c r="H768" s="69">
        <f t="shared" si="87"/>
        <v>0</v>
      </c>
      <c r="I768" s="70">
        <f>ROUND($G768*H768,2)</f>
        <v>0</v>
      </c>
    </row>
    <row r="769" spans="2:9" ht="45.6">
      <c r="B769" s="368" t="s">
        <v>278</v>
      </c>
      <c r="C769" s="83"/>
      <c r="D769" s="83"/>
      <c r="E769" s="92" t="s">
        <v>149</v>
      </c>
      <c r="F769" s="62" t="s">
        <v>15</v>
      </c>
      <c r="G769" s="68">
        <v>16</v>
      </c>
      <c r="H769" s="69">
        <f t="shared" si="87"/>
        <v>0</v>
      </c>
      <c r="I769" s="70">
        <f>ROUND($G769*H769,2)</f>
        <v>0</v>
      </c>
    </row>
    <row r="770" spans="2:9" ht="13.2">
      <c r="B770" s="367" t="s">
        <v>279</v>
      </c>
      <c r="C770" s="74" t="s">
        <v>168</v>
      </c>
      <c r="D770" s="74"/>
      <c r="E770" s="90" t="s">
        <v>155</v>
      </c>
      <c r="F770" s="81" t="s">
        <v>13</v>
      </c>
      <c r="G770" s="81" t="s">
        <v>13</v>
      </c>
      <c r="H770" s="65" t="s">
        <v>13</v>
      </c>
      <c r="I770" s="65" t="s">
        <v>13</v>
      </c>
    </row>
    <row r="771" spans="2:9" ht="22.8">
      <c r="B771" s="368" t="s">
        <v>280</v>
      </c>
      <c r="C771" s="103"/>
      <c r="D771" s="103"/>
      <c r="E771" s="110" t="s">
        <v>209</v>
      </c>
      <c r="F771" s="62" t="s">
        <v>15</v>
      </c>
      <c r="G771" s="68">
        <f>(6+0.5)*13.5*2</f>
        <v>175.5</v>
      </c>
      <c r="H771" s="69">
        <f t="shared" si="87"/>
        <v>0</v>
      </c>
      <c r="I771" s="70">
        <f>ROUND($G771*H771,2)</f>
        <v>0</v>
      </c>
    </row>
    <row r="772" spans="2:9" ht="13.2">
      <c r="B772" s="368" t="s">
        <v>281</v>
      </c>
      <c r="C772" s="101"/>
      <c r="D772" s="101"/>
      <c r="E772" s="90" t="s">
        <v>150</v>
      </c>
      <c r="F772" s="62" t="s">
        <v>15</v>
      </c>
      <c r="G772" s="68">
        <v>6.5</v>
      </c>
      <c r="H772" s="69">
        <f t="shared" si="87"/>
        <v>0</v>
      </c>
      <c r="I772" s="70">
        <f>ROUND($G772*H772,2)</f>
        <v>0</v>
      </c>
    </row>
    <row r="773" spans="2:9" ht="13.2">
      <c r="B773" s="367" t="s">
        <v>282</v>
      </c>
      <c r="C773" s="74" t="s">
        <v>183</v>
      </c>
      <c r="D773" s="74"/>
      <c r="E773" s="90" t="s">
        <v>54</v>
      </c>
      <c r="F773" s="81" t="s">
        <v>13</v>
      </c>
      <c r="G773" s="81" t="s">
        <v>13</v>
      </c>
      <c r="H773" s="69" t="s">
        <v>13</v>
      </c>
      <c r="I773" s="65" t="s">
        <v>13</v>
      </c>
    </row>
    <row r="774" spans="2:9" ht="22.8">
      <c r="B774" s="368" t="s">
        <v>283</v>
      </c>
      <c r="C774" s="98"/>
      <c r="D774" s="98"/>
      <c r="E774" s="92" t="s">
        <v>156</v>
      </c>
      <c r="F774" s="62" t="s">
        <v>15</v>
      </c>
      <c r="G774" s="68">
        <f>1.15*12.8*2</f>
        <v>29.44</v>
      </c>
      <c r="H774" s="69">
        <f t="shared" si="87"/>
        <v>0</v>
      </c>
      <c r="I774" s="70">
        <f>ROUND($G774*H774,2)</f>
        <v>0</v>
      </c>
    </row>
    <row r="775" spans="2:9" ht="13.2">
      <c r="B775" s="367" t="s">
        <v>284</v>
      </c>
      <c r="C775" s="74" t="s">
        <v>184</v>
      </c>
      <c r="D775" s="74"/>
      <c r="E775" s="90" t="s">
        <v>121</v>
      </c>
      <c r="F775" s="81" t="s">
        <v>13</v>
      </c>
      <c r="G775" s="81" t="s">
        <v>13</v>
      </c>
      <c r="H775" s="69" t="s">
        <v>13</v>
      </c>
      <c r="I775" s="49" t="s">
        <v>13</v>
      </c>
    </row>
    <row r="776" spans="2:9" ht="22.8">
      <c r="B776" s="368" t="s">
        <v>285</v>
      </c>
      <c r="C776" s="98"/>
      <c r="D776" s="98"/>
      <c r="E776" s="111" t="s">
        <v>122</v>
      </c>
      <c r="F776" s="83" t="s">
        <v>15</v>
      </c>
      <c r="G776" s="68">
        <f>(12.8+0.2)*11.52</f>
        <v>149.76</v>
      </c>
      <c r="H776" s="69">
        <f t="shared" si="87"/>
        <v>0</v>
      </c>
      <c r="I776" s="70">
        <f>ROUND($G776*H776,2)</f>
        <v>0</v>
      </c>
    </row>
    <row r="777" spans="2:9" ht="13.2">
      <c r="B777" s="367" t="s">
        <v>286</v>
      </c>
      <c r="C777" s="74" t="s">
        <v>185</v>
      </c>
      <c r="D777" s="74"/>
      <c r="E777" s="90" t="s">
        <v>151</v>
      </c>
      <c r="F777" s="81" t="s">
        <v>13</v>
      </c>
      <c r="G777" s="81" t="s">
        <v>13</v>
      </c>
      <c r="H777" s="69" t="s">
        <v>13</v>
      </c>
      <c r="I777" s="65" t="s">
        <v>13</v>
      </c>
    </row>
    <row r="778" spans="2:9" ht="22.8">
      <c r="B778" s="368" t="s">
        <v>287</v>
      </c>
      <c r="C778" s="98"/>
      <c r="D778" s="98"/>
      <c r="E778" s="90" t="s">
        <v>152</v>
      </c>
      <c r="F778" s="83" t="s">
        <v>15</v>
      </c>
      <c r="G778" s="68">
        <f>(7.9+7.9+4.3+4.3)*1*1.4</f>
        <v>34.159999999999997</v>
      </c>
      <c r="H778" s="69">
        <f t="shared" si="87"/>
        <v>0</v>
      </c>
      <c r="I778" s="70">
        <f>ROUND($G778*H778,2)</f>
        <v>0</v>
      </c>
    </row>
    <row r="779" spans="2:9" ht="13.2">
      <c r="B779" s="369"/>
      <c r="C779" s="12"/>
      <c r="D779" s="25"/>
      <c r="E779" s="87" t="s">
        <v>58</v>
      </c>
      <c r="F779" s="13" t="s">
        <v>153</v>
      </c>
      <c r="G779" s="96"/>
      <c r="H779" s="182" t="s">
        <v>13</v>
      </c>
      <c r="I779" s="182" t="s">
        <v>13</v>
      </c>
    </row>
    <row r="780" spans="2:9" ht="13.2">
      <c r="B780" s="367" t="s">
        <v>288</v>
      </c>
      <c r="C780" s="385" t="s">
        <v>186</v>
      </c>
      <c r="D780" s="386"/>
      <c r="E780" s="387" t="s">
        <v>81</v>
      </c>
      <c r="F780" s="388"/>
      <c r="G780" s="381"/>
      <c r="H780" s="380"/>
      <c r="I780" s="380"/>
    </row>
    <row r="781" spans="2:9" ht="24">
      <c r="B781" s="367"/>
      <c r="C781" s="71"/>
      <c r="D781" s="72"/>
      <c r="E781" s="73" t="s">
        <v>241</v>
      </c>
      <c r="F781" s="30"/>
      <c r="G781" s="114"/>
      <c r="H781" s="113"/>
      <c r="I781" s="113"/>
    </row>
    <row r="782" spans="2:9" ht="13.2">
      <c r="B782" s="367" t="s">
        <v>289</v>
      </c>
      <c r="C782" s="74" t="s">
        <v>187</v>
      </c>
      <c r="D782" s="74"/>
      <c r="E782" s="61" t="s">
        <v>360</v>
      </c>
      <c r="F782" s="62" t="s">
        <v>13</v>
      </c>
      <c r="G782" s="114" t="s">
        <v>13</v>
      </c>
      <c r="H782" s="65" t="s">
        <v>13</v>
      </c>
      <c r="I782" s="65" t="s">
        <v>13</v>
      </c>
    </row>
    <row r="783" spans="2:9" ht="22.8">
      <c r="B783" s="368" t="s">
        <v>290</v>
      </c>
      <c r="C783" s="115"/>
      <c r="D783" s="115"/>
      <c r="E783" s="67" t="s">
        <v>84</v>
      </c>
      <c r="F783" s="62" t="s">
        <v>4</v>
      </c>
      <c r="G783" s="68">
        <f>3.5+1.7+3.5+1.8</f>
        <v>10.5</v>
      </c>
      <c r="H783" s="69">
        <f t="shared" si="87"/>
        <v>0</v>
      </c>
      <c r="I783" s="70">
        <f>ROUND($G783*H783,2)</f>
        <v>0</v>
      </c>
    </row>
    <row r="784" spans="2:9" ht="22.8">
      <c r="B784" s="368" t="s">
        <v>291</v>
      </c>
      <c r="C784" s="115"/>
      <c r="D784" s="115"/>
      <c r="E784" s="116" t="s">
        <v>157</v>
      </c>
      <c r="F784" s="62" t="s">
        <v>3</v>
      </c>
      <c r="G784" s="68">
        <v>4</v>
      </c>
      <c r="H784" s="69">
        <f t="shared" si="87"/>
        <v>0</v>
      </c>
      <c r="I784" s="70">
        <f>ROUND($G784*H784,2)</f>
        <v>0</v>
      </c>
    </row>
    <row r="785" spans="2:9" ht="13.2">
      <c r="B785" s="369"/>
      <c r="C785" s="73"/>
      <c r="D785" s="118"/>
      <c r="E785" s="112" t="s">
        <v>85</v>
      </c>
      <c r="F785" s="13" t="s">
        <v>153</v>
      </c>
      <c r="G785" s="119"/>
      <c r="H785" s="182" t="s">
        <v>13</v>
      </c>
      <c r="I785" s="182" t="s">
        <v>13</v>
      </c>
    </row>
    <row r="786" spans="2:9" ht="13.2">
      <c r="B786" s="367" t="s">
        <v>292</v>
      </c>
      <c r="C786" s="375" t="s">
        <v>188</v>
      </c>
      <c r="D786" s="374"/>
      <c r="E786" s="376" t="s">
        <v>59</v>
      </c>
      <c r="F786" s="377"/>
      <c r="G786" s="381"/>
      <c r="H786" s="380"/>
      <c r="I786" s="380"/>
    </row>
    <row r="787" spans="2:9" ht="24">
      <c r="B787" s="367"/>
      <c r="C787" s="71"/>
      <c r="D787" s="72"/>
      <c r="E787" s="73" t="s">
        <v>241</v>
      </c>
      <c r="F787" s="30"/>
      <c r="G787" s="31"/>
      <c r="H787" s="32"/>
      <c r="I787" s="32"/>
    </row>
    <row r="788" spans="2:9" ht="13.2">
      <c r="B788" s="367" t="s">
        <v>293</v>
      </c>
      <c r="C788" s="120" t="s">
        <v>189</v>
      </c>
      <c r="D788" s="121"/>
      <c r="E788" s="122" t="s">
        <v>60</v>
      </c>
      <c r="F788" s="62" t="s">
        <v>13</v>
      </c>
      <c r="G788" s="62" t="s">
        <v>13</v>
      </c>
      <c r="H788" s="65" t="s">
        <v>13</v>
      </c>
      <c r="I788" s="65" t="s">
        <v>13</v>
      </c>
    </row>
    <row r="789" spans="2:9" ht="57">
      <c r="B789" s="368" t="s">
        <v>294</v>
      </c>
      <c r="C789" s="123"/>
      <c r="D789" s="124"/>
      <c r="E789" s="80" t="s">
        <v>123</v>
      </c>
      <c r="F789" s="81" t="s">
        <v>4</v>
      </c>
      <c r="G789" s="68">
        <v>12.8</v>
      </c>
      <c r="H789" s="69">
        <f t="shared" si="87"/>
        <v>0</v>
      </c>
      <c r="I789" s="70">
        <f>ROUND($G789*H789,2)</f>
        <v>0</v>
      </c>
    </row>
    <row r="790" spans="2:9" ht="34.200000000000003">
      <c r="B790" s="368" t="s">
        <v>295</v>
      </c>
      <c r="C790" s="123"/>
      <c r="D790" s="124"/>
      <c r="E790" s="80" t="s">
        <v>124</v>
      </c>
      <c r="F790" s="81" t="s">
        <v>4</v>
      </c>
      <c r="G790" s="68">
        <v>12</v>
      </c>
      <c r="H790" s="69">
        <f t="shared" si="87"/>
        <v>0</v>
      </c>
      <c r="I790" s="70">
        <f>ROUND($G790*H790,2)</f>
        <v>0</v>
      </c>
    </row>
    <row r="791" spans="2:9" ht="34.200000000000003">
      <c r="B791" s="368" t="s">
        <v>296</v>
      </c>
      <c r="C791" s="125"/>
      <c r="D791" s="126"/>
      <c r="E791" s="127" t="s">
        <v>144</v>
      </c>
      <c r="F791" s="128" t="s">
        <v>4</v>
      </c>
      <c r="G791" s="68">
        <f>6.06*4</f>
        <v>24.24</v>
      </c>
      <c r="H791" s="69">
        <f t="shared" si="87"/>
        <v>0</v>
      </c>
      <c r="I791" s="70">
        <f>ROUND($G791*H791,2)</f>
        <v>0</v>
      </c>
    </row>
    <row r="792" spans="2:9" ht="13.2">
      <c r="B792" s="369"/>
      <c r="C792" s="129"/>
      <c r="D792" s="130"/>
      <c r="E792" s="87" t="s">
        <v>61</v>
      </c>
      <c r="F792" s="13" t="s">
        <v>153</v>
      </c>
      <c r="G792" s="119"/>
      <c r="H792" s="182" t="s">
        <v>13</v>
      </c>
      <c r="I792" s="182" t="s">
        <v>13</v>
      </c>
    </row>
    <row r="793" spans="2:9" ht="13.2">
      <c r="B793" s="367" t="s">
        <v>297</v>
      </c>
      <c r="C793" s="375" t="s">
        <v>190</v>
      </c>
      <c r="D793" s="374"/>
      <c r="E793" s="376" t="s">
        <v>62</v>
      </c>
      <c r="F793" s="377"/>
      <c r="G793" s="381"/>
      <c r="H793" s="380"/>
      <c r="I793" s="380"/>
    </row>
    <row r="794" spans="2:9" ht="24">
      <c r="B794" s="367"/>
      <c r="C794" s="71"/>
      <c r="D794" s="72"/>
      <c r="E794" s="73" t="s">
        <v>241</v>
      </c>
      <c r="F794" s="30"/>
      <c r="G794" s="31"/>
      <c r="H794" s="32"/>
      <c r="I794" s="32"/>
    </row>
    <row r="795" spans="2:9" ht="13.2">
      <c r="B795" s="367" t="s">
        <v>298</v>
      </c>
      <c r="C795" s="60" t="s">
        <v>191</v>
      </c>
      <c r="D795" s="60"/>
      <c r="E795" s="90" t="s">
        <v>244</v>
      </c>
      <c r="F795" s="62" t="s">
        <v>13</v>
      </c>
      <c r="G795" s="62" t="s">
        <v>13</v>
      </c>
      <c r="H795" s="65" t="s">
        <v>13</v>
      </c>
      <c r="I795" s="65" t="s">
        <v>13</v>
      </c>
    </row>
    <row r="796" spans="2:9" ht="22.8">
      <c r="B796" s="368" t="s">
        <v>299</v>
      </c>
      <c r="C796" s="66"/>
      <c r="D796" s="66"/>
      <c r="E796" s="133" t="s">
        <v>245</v>
      </c>
      <c r="F796" s="132" t="s">
        <v>23</v>
      </c>
      <c r="G796" s="68">
        <v>510</v>
      </c>
      <c r="H796" s="69">
        <f t="shared" ref="H796:H824" si="88">L796*$K$5</f>
        <v>0</v>
      </c>
      <c r="I796" s="70">
        <f>ROUND($G796*H796,2)</f>
        <v>0</v>
      </c>
    </row>
    <row r="797" spans="2:9" ht="22.8">
      <c r="B797" s="368" t="s">
        <v>300</v>
      </c>
      <c r="C797" s="66"/>
      <c r="D797" s="66"/>
      <c r="E797" s="133" t="s">
        <v>246</v>
      </c>
      <c r="F797" s="132" t="s">
        <v>23</v>
      </c>
      <c r="G797" s="68">
        <f>335+194</f>
        <v>529</v>
      </c>
      <c r="H797" s="69">
        <f t="shared" si="88"/>
        <v>0</v>
      </c>
      <c r="I797" s="70">
        <f>ROUND($G797*H797,2)</f>
        <v>0</v>
      </c>
    </row>
    <row r="798" spans="2:9" ht="13.2">
      <c r="B798" s="369"/>
      <c r="C798" s="12"/>
      <c r="D798" s="25"/>
      <c r="E798" s="87" t="s">
        <v>63</v>
      </c>
      <c r="F798" s="13"/>
      <c r="G798" s="134"/>
      <c r="H798" s="182" t="s">
        <v>13</v>
      </c>
      <c r="I798" s="182" t="s">
        <v>13</v>
      </c>
    </row>
    <row r="799" spans="2:9" ht="13.2">
      <c r="B799" s="367" t="s">
        <v>301</v>
      </c>
      <c r="C799" s="375" t="s">
        <v>192</v>
      </c>
      <c r="D799" s="374"/>
      <c r="E799" s="376" t="s">
        <v>64</v>
      </c>
      <c r="F799" s="377"/>
      <c r="G799" s="381"/>
      <c r="H799" s="380"/>
      <c r="I799" s="380"/>
    </row>
    <row r="800" spans="2:9" ht="24">
      <c r="B800" s="367"/>
      <c r="C800" s="71"/>
      <c r="D800" s="72"/>
      <c r="E800" s="73" t="s">
        <v>241</v>
      </c>
      <c r="F800" s="30"/>
      <c r="G800" s="31">
        <v>0</v>
      </c>
      <c r="H800" s="32"/>
      <c r="I800" s="32"/>
    </row>
    <row r="801" spans="2:9" ht="13.2">
      <c r="B801" s="367" t="s">
        <v>302</v>
      </c>
      <c r="C801" s="60" t="s">
        <v>193</v>
      </c>
      <c r="D801" s="60"/>
      <c r="E801" s="135" t="s">
        <v>66</v>
      </c>
      <c r="F801" s="136" t="s">
        <v>13</v>
      </c>
      <c r="G801" s="136" t="s">
        <v>13</v>
      </c>
      <c r="H801" s="65" t="s">
        <v>13</v>
      </c>
      <c r="I801" s="65" t="s">
        <v>13</v>
      </c>
    </row>
    <row r="802" spans="2:9" ht="22.8">
      <c r="B802" s="368" t="s">
        <v>303</v>
      </c>
      <c r="C802" s="83"/>
      <c r="D802" s="83"/>
      <c r="E802" s="116" t="s">
        <v>158</v>
      </c>
      <c r="F802" s="137" t="s">
        <v>16</v>
      </c>
      <c r="G802" s="68">
        <f>6.25*12.85*2</f>
        <v>160.63</v>
      </c>
      <c r="H802" s="69">
        <f t="shared" si="88"/>
        <v>0</v>
      </c>
      <c r="I802" s="70">
        <f>ROUND($G802*H802,2)</f>
        <v>0</v>
      </c>
    </row>
    <row r="803" spans="2:9" ht="13.2">
      <c r="B803" s="367" t="s">
        <v>304</v>
      </c>
      <c r="C803" s="74" t="s">
        <v>194</v>
      </c>
      <c r="D803" s="74"/>
      <c r="E803" s="135" t="s">
        <v>68</v>
      </c>
      <c r="F803" s="136" t="s">
        <v>13</v>
      </c>
      <c r="G803" s="136" t="s">
        <v>13</v>
      </c>
      <c r="H803" s="69" t="s">
        <v>13</v>
      </c>
      <c r="I803" s="65" t="s">
        <v>13</v>
      </c>
    </row>
    <row r="804" spans="2:9" ht="34.799999999999997">
      <c r="B804" s="368" t="s">
        <v>305</v>
      </c>
      <c r="C804" s="98"/>
      <c r="D804" s="98"/>
      <c r="E804" s="116" t="s">
        <v>208</v>
      </c>
      <c r="F804" s="136" t="s">
        <v>4</v>
      </c>
      <c r="G804" s="68">
        <f>12.1+12.1</f>
        <v>24.2</v>
      </c>
      <c r="H804" s="69">
        <f t="shared" si="88"/>
        <v>0</v>
      </c>
      <c r="I804" s="70">
        <f>ROUND($G804*H804,2)</f>
        <v>0</v>
      </c>
    </row>
    <row r="805" spans="2:9" ht="13.2">
      <c r="B805" s="368" t="s">
        <v>306</v>
      </c>
      <c r="C805" s="101"/>
      <c r="D805" s="103"/>
      <c r="E805" s="138" t="s">
        <v>133</v>
      </c>
      <c r="F805" s="136" t="s">
        <v>3</v>
      </c>
      <c r="G805" s="68">
        <v>2</v>
      </c>
      <c r="H805" s="69">
        <f t="shared" si="88"/>
        <v>0</v>
      </c>
      <c r="I805" s="70">
        <f>ROUND($G805*H805,2)</f>
        <v>0</v>
      </c>
    </row>
    <row r="806" spans="2:9" ht="13.2">
      <c r="B806" s="367" t="s">
        <v>307</v>
      </c>
      <c r="C806" s="74" t="s">
        <v>169</v>
      </c>
      <c r="D806" s="75"/>
      <c r="E806" s="122" t="s">
        <v>69</v>
      </c>
      <c r="F806" s="62" t="s">
        <v>13</v>
      </c>
      <c r="G806" s="62" t="s">
        <v>13</v>
      </c>
      <c r="H806" s="69" t="s">
        <v>13</v>
      </c>
      <c r="I806" s="65" t="s">
        <v>13</v>
      </c>
    </row>
    <row r="807" spans="2:9" ht="34.200000000000003">
      <c r="B807" s="368" t="s">
        <v>308</v>
      </c>
      <c r="C807" s="98"/>
      <c r="D807" s="99"/>
      <c r="E807" s="80" t="s">
        <v>161</v>
      </c>
      <c r="F807" s="81" t="s">
        <v>16</v>
      </c>
      <c r="G807" s="68">
        <f>(8.2*6.5-0.96*8.2)+4.7*8+7.7*4.3+(4.6*5-0.96*4.6)</f>
        <v>134.72</v>
      </c>
      <c r="H807" s="69">
        <f t="shared" si="88"/>
        <v>0</v>
      </c>
      <c r="I807" s="70">
        <f>ROUND($G807*H807,2)</f>
        <v>0</v>
      </c>
    </row>
    <row r="808" spans="2:9" ht="22.8">
      <c r="B808" s="368" t="s">
        <v>309</v>
      </c>
      <c r="C808" s="98"/>
      <c r="D808" s="99"/>
      <c r="E808" s="80" t="s">
        <v>70</v>
      </c>
      <c r="F808" s="62" t="s">
        <v>4</v>
      </c>
      <c r="G808" s="68">
        <f>(6.7+1.1+8.2)+(8.6+3.7)+(6.4+7.7)+(4.1+1.1+4.6)</f>
        <v>52.2</v>
      </c>
      <c r="H808" s="69">
        <f t="shared" si="88"/>
        <v>0</v>
      </c>
      <c r="I808" s="70">
        <f>ROUND($G808*H808,2)</f>
        <v>0</v>
      </c>
    </row>
    <row r="809" spans="2:9" ht="22.8">
      <c r="B809" s="368" t="s">
        <v>310</v>
      </c>
      <c r="C809" s="98"/>
      <c r="D809" s="98"/>
      <c r="E809" s="139" t="s">
        <v>142</v>
      </c>
      <c r="F809" s="62" t="s">
        <v>4</v>
      </c>
      <c r="G809" s="68">
        <f>3.8+7.4+1.8+3.6</f>
        <v>16.600000000000001</v>
      </c>
      <c r="H809" s="69">
        <f t="shared" si="88"/>
        <v>0</v>
      </c>
      <c r="I809" s="70">
        <f>ROUND($G809*H809,2)</f>
        <v>0</v>
      </c>
    </row>
    <row r="810" spans="2:9" ht="13.2">
      <c r="B810" s="367" t="s">
        <v>311</v>
      </c>
      <c r="C810" s="60" t="s">
        <v>195</v>
      </c>
      <c r="D810" s="60"/>
      <c r="E810" s="90" t="s">
        <v>71</v>
      </c>
      <c r="F810" s="140" t="s">
        <v>13</v>
      </c>
      <c r="G810" s="140" t="s">
        <v>13</v>
      </c>
      <c r="H810" s="69" t="s">
        <v>13</v>
      </c>
      <c r="I810" s="65" t="s">
        <v>13</v>
      </c>
    </row>
    <row r="811" spans="2:9" ht="57">
      <c r="B811" s="368" t="s">
        <v>312</v>
      </c>
      <c r="C811" s="66"/>
      <c r="D811" s="66"/>
      <c r="E811" s="141" t="s">
        <v>127</v>
      </c>
      <c r="F811" s="137" t="s">
        <v>16</v>
      </c>
      <c r="G811" s="68">
        <f>20.2*11.45+1.45*(5.3*2+5.7*2)+0.7*4</f>
        <v>265.99</v>
      </c>
      <c r="H811" s="69">
        <f t="shared" si="88"/>
        <v>0</v>
      </c>
      <c r="I811" s="70">
        <f>ROUND($G811*H811,2)</f>
        <v>0</v>
      </c>
    </row>
    <row r="812" spans="2:9" ht="45.6">
      <c r="B812" s="368" t="s">
        <v>313</v>
      </c>
      <c r="C812" s="83"/>
      <c r="D812" s="83"/>
      <c r="E812" s="67" t="s">
        <v>125</v>
      </c>
      <c r="F812" s="81" t="s">
        <v>16</v>
      </c>
      <c r="G812" s="68">
        <f>(7.9+4.3+7.9+4.3)*1.66+2.62*12.8*2</f>
        <v>107.58</v>
      </c>
      <c r="H812" s="69">
        <f t="shared" si="88"/>
        <v>0</v>
      </c>
      <c r="I812" s="70">
        <f>ROUND($G812*H812,2)</f>
        <v>0</v>
      </c>
    </row>
    <row r="813" spans="2:9" ht="13.2">
      <c r="B813" s="367" t="s">
        <v>314</v>
      </c>
      <c r="C813" s="60" t="s">
        <v>170</v>
      </c>
      <c r="D813" s="60"/>
      <c r="E813" s="61" t="s">
        <v>72</v>
      </c>
      <c r="F813" s="81" t="s">
        <v>13</v>
      </c>
      <c r="G813" s="143" t="s">
        <v>13</v>
      </c>
      <c r="H813" s="69" t="s">
        <v>13</v>
      </c>
      <c r="I813" s="65" t="s">
        <v>13</v>
      </c>
    </row>
    <row r="814" spans="2:9" ht="34.200000000000003">
      <c r="B814" s="368" t="s">
        <v>315</v>
      </c>
      <c r="C814" s="66"/>
      <c r="D814" s="66"/>
      <c r="E814" s="144" t="s">
        <v>148</v>
      </c>
      <c r="F814" s="81" t="s">
        <v>4</v>
      </c>
      <c r="G814" s="68">
        <f>7.36+4.12</f>
        <v>11.48</v>
      </c>
      <c r="H814" s="69">
        <f t="shared" si="88"/>
        <v>0</v>
      </c>
      <c r="I814" s="70">
        <f>ROUND($G814*H814,2)</f>
        <v>0</v>
      </c>
    </row>
    <row r="815" spans="2:9" ht="22.8">
      <c r="B815" s="367" t="s">
        <v>316</v>
      </c>
      <c r="C815" s="60" t="s">
        <v>196</v>
      </c>
      <c r="D815" s="60"/>
      <c r="E815" s="145" t="s">
        <v>131</v>
      </c>
      <c r="F815" s="146" t="s">
        <v>13</v>
      </c>
      <c r="G815" s="146" t="s">
        <v>13</v>
      </c>
      <c r="H815" s="69" t="s">
        <v>13</v>
      </c>
      <c r="I815" s="65" t="s">
        <v>13</v>
      </c>
    </row>
    <row r="816" spans="2:9" ht="34.200000000000003">
      <c r="B816" s="368" t="s">
        <v>317</v>
      </c>
      <c r="C816" s="66"/>
      <c r="D816" s="66"/>
      <c r="E816" s="147" t="s">
        <v>206</v>
      </c>
      <c r="F816" s="146" t="s">
        <v>4</v>
      </c>
      <c r="G816" s="68">
        <f>(16+16+8+8)*0.5</f>
        <v>24</v>
      </c>
      <c r="H816" s="69">
        <f t="shared" si="88"/>
        <v>0</v>
      </c>
      <c r="I816" s="70">
        <f>ROUND($G816*H816,2)</f>
        <v>0</v>
      </c>
    </row>
    <row r="817" spans="2:9" ht="15.6">
      <c r="B817" s="368" t="s">
        <v>318</v>
      </c>
      <c r="C817" s="66"/>
      <c r="D817" s="66"/>
      <c r="E817" s="147" t="s">
        <v>145</v>
      </c>
      <c r="F817" s="146" t="s">
        <v>76</v>
      </c>
      <c r="G817" s="68">
        <v>2</v>
      </c>
      <c r="H817" s="69">
        <f t="shared" si="88"/>
        <v>0</v>
      </c>
      <c r="I817" s="70">
        <f>ROUND($G817*H817,2)</f>
        <v>0</v>
      </c>
    </row>
    <row r="818" spans="2:9" ht="22.8">
      <c r="B818" s="367" t="s">
        <v>320</v>
      </c>
      <c r="C818" s="74" t="s">
        <v>197</v>
      </c>
      <c r="D818" s="74"/>
      <c r="E818" s="148" t="s">
        <v>73</v>
      </c>
      <c r="F818" s="81" t="s">
        <v>13</v>
      </c>
      <c r="G818" s="81" t="s">
        <v>13</v>
      </c>
      <c r="H818" s="69" t="s">
        <v>13</v>
      </c>
      <c r="I818" s="65" t="s">
        <v>13</v>
      </c>
    </row>
    <row r="819" spans="2:9" ht="13.2">
      <c r="B819" s="368" t="s">
        <v>321</v>
      </c>
      <c r="C819" s="98"/>
      <c r="D819" s="98"/>
      <c r="E819" s="149" t="s">
        <v>74</v>
      </c>
      <c r="F819" s="136" t="s">
        <v>3</v>
      </c>
      <c r="G819" s="68">
        <v>2</v>
      </c>
      <c r="H819" s="69">
        <f t="shared" si="88"/>
        <v>0</v>
      </c>
      <c r="I819" s="70">
        <f>ROUND($G819*H819,2)</f>
        <v>0</v>
      </c>
    </row>
    <row r="820" spans="2:9" ht="22.8">
      <c r="B820" s="368" t="s">
        <v>322</v>
      </c>
      <c r="C820" s="101"/>
      <c r="D820" s="101"/>
      <c r="E820" s="150" t="s">
        <v>128</v>
      </c>
      <c r="F820" s="151" t="s">
        <v>3</v>
      </c>
      <c r="G820" s="68">
        <v>16</v>
      </c>
      <c r="H820" s="69">
        <f t="shared" si="88"/>
        <v>0</v>
      </c>
      <c r="I820" s="70">
        <f>ROUND($G820*H820,2)</f>
        <v>0</v>
      </c>
    </row>
    <row r="821" spans="2:9" ht="13.2">
      <c r="B821" s="367" t="s">
        <v>323</v>
      </c>
      <c r="C821" s="60" t="s">
        <v>198</v>
      </c>
      <c r="D821" s="60"/>
      <c r="E821" s="152" t="s">
        <v>75</v>
      </c>
      <c r="F821" s="153" t="s">
        <v>13</v>
      </c>
      <c r="G821" s="153" t="s">
        <v>13</v>
      </c>
      <c r="H821" s="69" t="s">
        <v>13</v>
      </c>
      <c r="I821" s="65" t="s">
        <v>13</v>
      </c>
    </row>
    <row r="822" spans="2:9" ht="13.2">
      <c r="B822" s="368" t="s">
        <v>324</v>
      </c>
      <c r="C822" s="83"/>
      <c r="D822" s="66"/>
      <c r="E822" s="141" t="s">
        <v>164</v>
      </c>
      <c r="F822" s="137" t="s">
        <v>16</v>
      </c>
      <c r="G822" s="68">
        <f>14.55*2.5*2</f>
        <v>72.75</v>
      </c>
      <c r="H822" s="69">
        <f t="shared" si="88"/>
        <v>0</v>
      </c>
      <c r="I822" s="70">
        <f>ROUND($G822*H822,2)</f>
        <v>0</v>
      </c>
    </row>
    <row r="823" spans="2:9" ht="13.2">
      <c r="B823" s="367" t="s">
        <v>325</v>
      </c>
      <c r="C823" s="60" t="s">
        <v>199</v>
      </c>
      <c r="D823" s="60"/>
      <c r="E823" s="152" t="s">
        <v>110</v>
      </c>
      <c r="F823" s="151" t="s">
        <v>13</v>
      </c>
      <c r="G823" s="154" t="s">
        <v>13</v>
      </c>
      <c r="H823" s="69" t="s">
        <v>13</v>
      </c>
      <c r="I823" s="65" t="s">
        <v>13</v>
      </c>
    </row>
    <row r="824" spans="2:9" ht="22.8">
      <c r="B824" s="370" t="s">
        <v>326</v>
      </c>
      <c r="C824" s="66"/>
      <c r="D824" s="82"/>
      <c r="E824" s="155" t="s">
        <v>126</v>
      </c>
      <c r="F824" s="81" t="s">
        <v>16</v>
      </c>
      <c r="G824" s="68">
        <f>4.4*12.8*2</f>
        <v>112.64</v>
      </c>
      <c r="H824" s="69">
        <f t="shared" si="88"/>
        <v>0</v>
      </c>
      <c r="I824" s="70">
        <f>ROUND($G824*H824,2)</f>
        <v>0</v>
      </c>
    </row>
    <row r="825" spans="2:9" ht="13.2">
      <c r="B825" s="369"/>
      <c r="C825" s="12"/>
      <c r="D825" s="25"/>
      <c r="E825" s="14" t="s">
        <v>77</v>
      </c>
      <c r="F825" s="13"/>
      <c r="G825" s="96"/>
      <c r="H825" s="194" t="s">
        <v>13</v>
      </c>
      <c r="I825" s="34" t="s">
        <v>13</v>
      </c>
    </row>
    <row r="826" spans="2:9" ht="13.8">
      <c r="B826" s="367"/>
      <c r="C826" s="562" t="s">
        <v>421</v>
      </c>
      <c r="D826" s="562"/>
      <c r="E826" s="562"/>
      <c r="F826" s="7"/>
      <c r="G826" s="195"/>
      <c r="H826" s="33" t="s">
        <v>13</v>
      </c>
      <c r="I826" s="10">
        <f>SUM(I725:I824)</f>
        <v>0</v>
      </c>
    </row>
    <row r="827" spans="2:9" ht="26.4">
      <c r="B827" s="410" t="s">
        <v>334</v>
      </c>
      <c r="C827" s="558" t="s">
        <v>507</v>
      </c>
      <c r="D827" s="559"/>
      <c r="E827" s="560"/>
      <c r="F827" s="560"/>
      <c r="G827" s="560"/>
      <c r="H827" s="560"/>
      <c r="I827" s="561"/>
    </row>
    <row r="828" spans="2:9" ht="24">
      <c r="B828" s="371" t="s">
        <v>0</v>
      </c>
      <c r="C828" s="404" t="s">
        <v>210</v>
      </c>
      <c r="D828" s="404" t="s">
        <v>333</v>
      </c>
      <c r="E828" s="405" t="s">
        <v>203</v>
      </c>
      <c r="F828" s="310" t="s">
        <v>204</v>
      </c>
      <c r="G828" s="405" t="s">
        <v>1</v>
      </c>
      <c r="H828" s="41" t="s">
        <v>111</v>
      </c>
      <c r="I828" s="406" t="s">
        <v>112</v>
      </c>
    </row>
    <row r="829" spans="2:9" ht="13.2">
      <c r="B829" s="367" t="s">
        <v>247</v>
      </c>
      <c r="C829" s="375" t="s">
        <v>171</v>
      </c>
      <c r="D829" s="374"/>
      <c r="E829" s="376" t="s">
        <v>14</v>
      </c>
      <c r="F829" s="377"/>
      <c r="G829" s="378"/>
      <c r="H829" s="379"/>
      <c r="I829" s="380"/>
    </row>
    <row r="830" spans="2:9" ht="13.2">
      <c r="B830" s="367" t="s">
        <v>439</v>
      </c>
      <c r="C830" s="375" t="s">
        <v>440</v>
      </c>
      <c r="D830" s="374"/>
      <c r="E830" s="376" t="s">
        <v>441</v>
      </c>
      <c r="F830" s="377"/>
      <c r="G830" s="381"/>
      <c r="H830" s="397"/>
      <c r="I830" s="380"/>
    </row>
    <row r="831" spans="2:9" ht="13.2">
      <c r="B831" s="367" t="s">
        <v>248</v>
      </c>
      <c r="C831" s="60" t="s">
        <v>166</v>
      </c>
      <c r="D831" s="60"/>
      <c r="E831" s="61" t="s">
        <v>116</v>
      </c>
      <c r="F831" s="62" t="s">
        <v>13</v>
      </c>
      <c r="G831" s="63" t="s">
        <v>13</v>
      </c>
      <c r="H831" s="64"/>
      <c r="I831" s="65" t="s">
        <v>13</v>
      </c>
    </row>
    <row r="832" spans="2:9" ht="22.8">
      <c r="B832" s="368" t="s">
        <v>249</v>
      </c>
      <c r="C832" s="66"/>
      <c r="D832" s="66"/>
      <c r="E832" s="67" t="s">
        <v>160</v>
      </c>
      <c r="F832" s="62" t="s">
        <v>17</v>
      </c>
      <c r="G832" s="68">
        <v>51</v>
      </c>
      <c r="H832" s="186">
        <f t="shared" ref="H832:H894" si="89">L832*$K$5</f>
        <v>0</v>
      </c>
      <c r="I832" s="70">
        <f>ROUND($G832*H832,2)</f>
        <v>0</v>
      </c>
    </row>
    <row r="833" spans="2:9" ht="13.2">
      <c r="B833" s="367" t="s">
        <v>250</v>
      </c>
      <c r="C833" s="375" t="s">
        <v>172</v>
      </c>
      <c r="D833" s="374"/>
      <c r="E833" s="376" t="s">
        <v>20</v>
      </c>
      <c r="F833" s="377"/>
      <c r="G833" s="381"/>
      <c r="H833" s="382"/>
      <c r="I833" s="396"/>
    </row>
    <row r="834" spans="2:9" ht="24">
      <c r="B834" s="367"/>
      <c r="C834" s="71"/>
      <c r="D834" s="72"/>
      <c r="E834" s="73" t="s">
        <v>241</v>
      </c>
      <c r="F834" s="30"/>
      <c r="G834" s="31"/>
      <c r="H834" s="185"/>
      <c r="I834" s="32"/>
    </row>
    <row r="835" spans="2:9" ht="13.2">
      <c r="B835" s="367" t="s">
        <v>251</v>
      </c>
      <c r="C835" s="74" t="s">
        <v>173</v>
      </c>
      <c r="D835" s="75"/>
      <c r="E835" s="76" t="s">
        <v>115</v>
      </c>
      <c r="F835" s="62" t="s">
        <v>13</v>
      </c>
      <c r="G835" s="63" t="s">
        <v>13</v>
      </c>
      <c r="H835" s="189" t="s">
        <v>13</v>
      </c>
      <c r="I835" s="65" t="s">
        <v>13</v>
      </c>
    </row>
    <row r="836" spans="2:9" ht="13.2">
      <c r="B836" s="369"/>
      <c r="C836" s="77"/>
      <c r="D836" s="78"/>
      <c r="E836" s="79" t="s">
        <v>117</v>
      </c>
      <c r="F836" s="62" t="s">
        <v>13</v>
      </c>
      <c r="G836" s="63" t="s">
        <v>13</v>
      </c>
      <c r="H836" s="69" t="s">
        <v>13</v>
      </c>
      <c r="I836" s="65" t="s">
        <v>13</v>
      </c>
    </row>
    <row r="837" spans="2:9" ht="13.2">
      <c r="B837" s="368" t="s">
        <v>252</v>
      </c>
      <c r="C837" s="66"/>
      <c r="D837" s="82"/>
      <c r="E837" s="80" t="s">
        <v>365</v>
      </c>
      <c r="F837" s="81" t="s">
        <v>23</v>
      </c>
      <c r="G837" s="68">
        <v>51870</v>
      </c>
      <c r="H837" s="69">
        <f t="shared" si="89"/>
        <v>0</v>
      </c>
      <c r="I837" s="70">
        <f t="shared" ref="I837:I843" si="90">ROUND($G837*H837,2)</f>
        <v>0</v>
      </c>
    </row>
    <row r="838" spans="2:9" ht="13.2">
      <c r="B838" s="368" t="s">
        <v>253</v>
      </c>
      <c r="C838" s="66"/>
      <c r="D838" s="82"/>
      <c r="E838" s="80" t="s">
        <v>366</v>
      </c>
      <c r="F838" s="81" t="s">
        <v>23</v>
      </c>
      <c r="G838" s="164">
        <v>37580</v>
      </c>
      <c r="H838" s="69">
        <f t="shared" si="89"/>
        <v>0</v>
      </c>
      <c r="I838" s="70">
        <f t="shared" si="90"/>
        <v>0</v>
      </c>
    </row>
    <row r="839" spans="2:9" ht="13.2">
      <c r="B839" s="368" t="s">
        <v>254</v>
      </c>
      <c r="C839" s="66"/>
      <c r="D839" s="82"/>
      <c r="E839" s="80" t="s">
        <v>508</v>
      </c>
      <c r="F839" s="81" t="s">
        <v>23</v>
      </c>
      <c r="G839" s="165">
        <v>8550</v>
      </c>
      <c r="H839" s="69">
        <f t="shared" si="89"/>
        <v>0</v>
      </c>
      <c r="I839" s="70">
        <f t="shared" si="90"/>
        <v>0</v>
      </c>
    </row>
    <row r="840" spans="2:9" ht="13.2">
      <c r="B840" s="368" t="s">
        <v>255</v>
      </c>
      <c r="C840" s="66"/>
      <c r="D840" s="82"/>
      <c r="E840" s="80" t="s">
        <v>163</v>
      </c>
      <c r="F840" s="81" t="s">
        <v>23</v>
      </c>
      <c r="G840" s="165">
        <v>314</v>
      </c>
      <c r="H840" s="69">
        <f t="shared" si="89"/>
        <v>0</v>
      </c>
      <c r="I840" s="70">
        <f t="shared" si="90"/>
        <v>0</v>
      </c>
    </row>
    <row r="841" spans="2:9" ht="13.2">
      <c r="B841" s="368" t="s">
        <v>449</v>
      </c>
      <c r="C841" s="66"/>
      <c r="D841" s="82"/>
      <c r="E841" s="80" t="s">
        <v>509</v>
      </c>
      <c r="F841" s="81" t="s">
        <v>23</v>
      </c>
      <c r="G841" s="68">
        <v>27484</v>
      </c>
      <c r="H841" s="69">
        <f t="shared" si="89"/>
        <v>0</v>
      </c>
      <c r="I841" s="70">
        <f t="shared" si="90"/>
        <v>0</v>
      </c>
    </row>
    <row r="842" spans="2:9" ht="13.2">
      <c r="B842" s="368" t="s">
        <v>510</v>
      </c>
      <c r="C842" s="66"/>
      <c r="D842" s="82"/>
      <c r="E842" s="80" t="s">
        <v>511</v>
      </c>
      <c r="F842" s="81" t="s">
        <v>23</v>
      </c>
      <c r="G842" s="68">
        <v>32656</v>
      </c>
      <c r="H842" s="69">
        <f t="shared" si="89"/>
        <v>0</v>
      </c>
      <c r="I842" s="70">
        <f t="shared" si="90"/>
        <v>0</v>
      </c>
    </row>
    <row r="843" spans="2:9" ht="13.2">
      <c r="B843" s="368" t="s">
        <v>512</v>
      </c>
      <c r="C843" s="66"/>
      <c r="D843" s="82"/>
      <c r="E843" s="80" t="s">
        <v>513</v>
      </c>
      <c r="F843" s="81" t="s">
        <v>23</v>
      </c>
      <c r="G843" s="68">
        <v>2504</v>
      </c>
      <c r="H843" s="186">
        <f t="shared" si="89"/>
        <v>0</v>
      </c>
      <c r="I843" s="70">
        <f t="shared" si="90"/>
        <v>0</v>
      </c>
    </row>
    <row r="844" spans="2:9" ht="13.2">
      <c r="B844" s="369"/>
      <c r="C844" s="83"/>
      <c r="D844" s="84"/>
      <c r="E844" s="87" t="s">
        <v>26</v>
      </c>
      <c r="F844" s="81" t="s">
        <v>153</v>
      </c>
      <c r="G844" s="37"/>
      <c r="H844" s="184"/>
      <c r="I844" s="317" t="s">
        <v>13</v>
      </c>
    </row>
    <row r="845" spans="2:9" ht="13.2">
      <c r="B845" s="367" t="s">
        <v>256</v>
      </c>
      <c r="C845" s="375" t="s">
        <v>174</v>
      </c>
      <c r="D845" s="374"/>
      <c r="E845" s="376" t="s">
        <v>27</v>
      </c>
      <c r="F845" s="377"/>
      <c r="G845" s="381"/>
      <c r="H845" s="382"/>
      <c r="I845" s="396"/>
    </row>
    <row r="846" spans="2:9" ht="24">
      <c r="B846" s="367"/>
      <c r="C846" s="71"/>
      <c r="D846" s="72"/>
      <c r="E846" s="73" t="s">
        <v>241</v>
      </c>
      <c r="F846" s="30"/>
      <c r="G846" s="31"/>
      <c r="H846" s="184"/>
      <c r="I846" s="32"/>
    </row>
    <row r="847" spans="2:9" ht="13.2">
      <c r="B847" s="367" t="s">
        <v>257</v>
      </c>
      <c r="C847" s="74" t="s">
        <v>175</v>
      </c>
      <c r="D847" s="75"/>
      <c r="E847" s="76" t="s">
        <v>29</v>
      </c>
      <c r="F847" s="62" t="s">
        <v>13</v>
      </c>
      <c r="G847" s="62" t="s">
        <v>13</v>
      </c>
      <c r="H847" s="189" t="s">
        <v>13</v>
      </c>
      <c r="I847" s="65" t="s">
        <v>13</v>
      </c>
    </row>
    <row r="848" spans="2:9" ht="22.8">
      <c r="B848" s="368" t="s">
        <v>258</v>
      </c>
      <c r="C848" s="98"/>
      <c r="D848" s="99"/>
      <c r="E848" s="76" t="s">
        <v>367</v>
      </c>
      <c r="F848" s="62" t="s">
        <v>17</v>
      </c>
      <c r="G848" s="68">
        <v>310</v>
      </c>
      <c r="H848" s="69">
        <f t="shared" si="89"/>
        <v>0</v>
      </c>
      <c r="I848" s="70">
        <f>ROUND($G848*H848,2)</f>
        <v>0</v>
      </c>
    </row>
    <row r="849" spans="2:9" ht="13.2">
      <c r="B849" s="367" t="s">
        <v>259</v>
      </c>
      <c r="C849" s="66" t="s">
        <v>176</v>
      </c>
      <c r="D849" s="66"/>
      <c r="E849" s="90" t="s">
        <v>31</v>
      </c>
      <c r="F849" s="81" t="s">
        <v>13</v>
      </c>
      <c r="G849" s="81" t="s">
        <v>13</v>
      </c>
      <c r="H849" s="69" t="s">
        <v>13</v>
      </c>
      <c r="I849" s="65" t="s">
        <v>13</v>
      </c>
    </row>
    <row r="850" spans="2:9" ht="22.8">
      <c r="B850" s="368" t="s">
        <v>260</v>
      </c>
      <c r="C850" s="66"/>
      <c r="D850" s="66"/>
      <c r="E850" s="67" t="s">
        <v>514</v>
      </c>
      <c r="F850" s="62" t="s">
        <v>17</v>
      </c>
      <c r="G850" s="68">
        <v>18</v>
      </c>
      <c r="H850" s="69">
        <f t="shared" si="89"/>
        <v>0</v>
      </c>
      <c r="I850" s="70">
        <f>ROUND($G850*H850,2)</f>
        <v>0</v>
      </c>
    </row>
    <row r="851" spans="2:9" ht="13.2">
      <c r="B851" s="368" t="s">
        <v>369</v>
      </c>
      <c r="C851" s="66"/>
      <c r="D851" s="66"/>
      <c r="E851" s="67" t="s">
        <v>165</v>
      </c>
      <c r="F851" s="62" t="s">
        <v>17</v>
      </c>
      <c r="G851" s="68">
        <v>30</v>
      </c>
      <c r="H851" s="69">
        <f t="shared" si="89"/>
        <v>0</v>
      </c>
      <c r="I851" s="70">
        <f>ROUND($G851*H851,2)</f>
        <v>0</v>
      </c>
    </row>
    <row r="852" spans="2:9" ht="22.8">
      <c r="B852" s="368" t="s">
        <v>451</v>
      </c>
      <c r="C852" s="83"/>
      <c r="D852" s="83"/>
      <c r="E852" s="67" t="s">
        <v>370</v>
      </c>
      <c r="F852" s="62" t="s">
        <v>17</v>
      </c>
      <c r="G852" s="68">
        <v>2.1</v>
      </c>
      <c r="H852" s="69">
        <f t="shared" si="89"/>
        <v>0</v>
      </c>
      <c r="I852" s="70">
        <f>ROUND($G852*H852,2)</f>
        <v>0</v>
      </c>
    </row>
    <row r="853" spans="2:9" ht="13.2">
      <c r="B853" s="367" t="s">
        <v>261</v>
      </c>
      <c r="C853" s="66" t="s">
        <v>177</v>
      </c>
      <c r="D853" s="66"/>
      <c r="E853" s="90" t="s">
        <v>129</v>
      </c>
      <c r="F853" s="81" t="s">
        <v>13</v>
      </c>
      <c r="G853" s="81" t="s">
        <v>13</v>
      </c>
      <c r="H853" s="69" t="s">
        <v>13</v>
      </c>
      <c r="I853" s="49" t="s">
        <v>13</v>
      </c>
    </row>
    <row r="854" spans="2:9" ht="13.2">
      <c r="B854" s="368" t="s">
        <v>262</v>
      </c>
      <c r="C854" s="66"/>
      <c r="D854" s="66"/>
      <c r="E854" s="67" t="s">
        <v>371</v>
      </c>
      <c r="F854" s="62" t="s">
        <v>17</v>
      </c>
      <c r="G854" s="68">
        <v>250</v>
      </c>
      <c r="H854" s="69">
        <f t="shared" si="89"/>
        <v>0</v>
      </c>
      <c r="I854" s="70">
        <f>ROUND($G854*H854,2)</f>
        <v>0</v>
      </c>
    </row>
    <row r="855" spans="2:9" ht="13.2">
      <c r="B855" s="368" t="s">
        <v>515</v>
      </c>
      <c r="C855" s="66"/>
      <c r="D855" s="66"/>
      <c r="E855" s="67" t="s">
        <v>516</v>
      </c>
      <c r="F855" s="62" t="s">
        <v>17</v>
      </c>
      <c r="G855" s="68">
        <v>55</v>
      </c>
      <c r="H855" s="69">
        <f t="shared" si="89"/>
        <v>0</v>
      </c>
      <c r="I855" s="70">
        <f>ROUND($G855*H855,2)</f>
        <v>0</v>
      </c>
    </row>
    <row r="856" spans="2:9" ht="13.2">
      <c r="B856" s="368" t="s">
        <v>517</v>
      </c>
      <c r="C856" s="66"/>
      <c r="D856" s="66"/>
      <c r="E856" s="90" t="s">
        <v>518</v>
      </c>
      <c r="F856" s="62" t="s">
        <v>17</v>
      </c>
      <c r="G856" s="93">
        <v>168</v>
      </c>
      <c r="H856" s="69">
        <f t="shared" si="89"/>
        <v>0</v>
      </c>
      <c r="I856" s="70">
        <f>ROUND($G856*H856,2)</f>
        <v>0</v>
      </c>
    </row>
    <row r="857" spans="2:9" ht="13.2">
      <c r="B857" s="369"/>
      <c r="C857" s="62"/>
      <c r="D857" s="95"/>
      <c r="E857" s="87" t="s">
        <v>39</v>
      </c>
      <c r="F857" s="62" t="s">
        <v>153</v>
      </c>
      <c r="G857" s="96"/>
      <c r="H857"/>
      <c r="I857" s="182" t="s">
        <v>13</v>
      </c>
    </row>
    <row r="858" spans="2:9" ht="13.2">
      <c r="B858" s="367" t="s">
        <v>263</v>
      </c>
      <c r="C858" s="74" t="s">
        <v>181</v>
      </c>
      <c r="D858" s="75"/>
      <c r="E858" s="97" t="s">
        <v>139</v>
      </c>
      <c r="F858" s="62" t="s">
        <v>13</v>
      </c>
      <c r="G858" s="62" t="s">
        <v>13</v>
      </c>
      <c r="H858" s="69" t="s">
        <v>13</v>
      </c>
      <c r="I858" s="65" t="s">
        <v>13</v>
      </c>
    </row>
    <row r="859" spans="2:9" ht="22.8">
      <c r="B859" s="368" t="s">
        <v>264</v>
      </c>
      <c r="C859" s="98"/>
      <c r="D859" s="99"/>
      <c r="E859" s="100" t="s">
        <v>140</v>
      </c>
      <c r="F859" s="62" t="s">
        <v>17</v>
      </c>
      <c r="G859" s="68">
        <v>88</v>
      </c>
      <c r="H859" s="69">
        <f t="shared" si="89"/>
        <v>0</v>
      </c>
      <c r="I859" s="70">
        <f>ROUND($G859*H859,2)</f>
        <v>0</v>
      </c>
    </row>
    <row r="860" spans="2:9" ht="22.8">
      <c r="B860" s="368" t="s">
        <v>372</v>
      </c>
      <c r="C860" s="101"/>
      <c r="D860" s="102"/>
      <c r="E860" s="100" t="s">
        <v>141</v>
      </c>
      <c r="F860" s="62" t="s">
        <v>17</v>
      </c>
      <c r="G860" s="68">
        <v>2</v>
      </c>
      <c r="H860" s="69">
        <f t="shared" si="89"/>
        <v>0</v>
      </c>
      <c r="I860" s="70">
        <f>ROUND($G860*H860,2)</f>
        <v>0</v>
      </c>
    </row>
    <row r="861" spans="2:9" ht="13.2">
      <c r="B861" s="369"/>
      <c r="C861" s="103"/>
      <c r="D861" s="104"/>
      <c r="E861" s="87" t="s">
        <v>43</v>
      </c>
      <c r="F861" s="62" t="s">
        <v>153</v>
      </c>
      <c r="G861" s="39"/>
      <c r="H861"/>
      <c r="I861" s="182" t="s">
        <v>13</v>
      </c>
    </row>
    <row r="862" spans="2:9" ht="22.8">
      <c r="B862" s="368" t="s">
        <v>519</v>
      </c>
      <c r="C862" s="74" t="s">
        <v>355</v>
      </c>
      <c r="D862" s="74"/>
      <c r="E862" s="110" t="s">
        <v>357</v>
      </c>
      <c r="F862" s="170" t="s">
        <v>13</v>
      </c>
      <c r="G862" s="81" t="s">
        <v>13</v>
      </c>
      <c r="H862" s="69" t="s">
        <v>13</v>
      </c>
      <c r="I862" s="49" t="s">
        <v>13</v>
      </c>
    </row>
    <row r="863" spans="2:9" ht="22.8">
      <c r="B863" s="368" t="s">
        <v>351</v>
      </c>
      <c r="C863" s="206"/>
      <c r="D863" s="206"/>
      <c r="E863" s="90" t="s">
        <v>154</v>
      </c>
      <c r="F863" s="109" t="s">
        <v>15</v>
      </c>
      <c r="G863" s="68">
        <v>299</v>
      </c>
      <c r="H863" s="69">
        <f t="shared" si="89"/>
        <v>0</v>
      </c>
      <c r="I863" s="70">
        <f>ROUND($G863*H863,2)</f>
        <v>0</v>
      </c>
    </row>
    <row r="864" spans="2:9" ht="13.2">
      <c r="B864" s="367" t="s">
        <v>275</v>
      </c>
      <c r="C864" s="375" t="s">
        <v>201</v>
      </c>
      <c r="D864" s="374"/>
      <c r="E864" s="407" t="s">
        <v>380</v>
      </c>
      <c r="F864" s="377"/>
      <c r="G864" s="381"/>
      <c r="H864" s="389"/>
      <c r="I864" s="380"/>
    </row>
    <row r="865" spans="2:9" ht="24">
      <c r="B865" s="367"/>
      <c r="C865" s="71"/>
      <c r="D865" s="72"/>
      <c r="E865" s="73" t="s">
        <v>241</v>
      </c>
      <c r="F865" s="30"/>
      <c r="G865" s="31"/>
      <c r="H865" s="184"/>
      <c r="I865" s="32"/>
    </row>
    <row r="866" spans="2:9" ht="13.2">
      <c r="B866" s="367" t="s">
        <v>276</v>
      </c>
      <c r="C866" s="60" t="s">
        <v>182</v>
      </c>
      <c r="D866" s="60"/>
      <c r="E866" s="90" t="s">
        <v>49</v>
      </c>
      <c r="F866" s="62" t="s">
        <v>13</v>
      </c>
      <c r="G866" s="62" t="s">
        <v>13</v>
      </c>
      <c r="H866" s="189" t="s">
        <v>13</v>
      </c>
      <c r="I866" s="65" t="s">
        <v>13</v>
      </c>
    </row>
    <row r="867" spans="2:9" ht="34.200000000000003">
      <c r="B867" s="368" t="s">
        <v>277</v>
      </c>
      <c r="C867" s="66"/>
      <c r="D867" s="66"/>
      <c r="E867" s="110" t="s">
        <v>207</v>
      </c>
      <c r="F867" s="62" t="s">
        <v>15</v>
      </c>
      <c r="G867" s="68">
        <v>1255</v>
      </c>
      <c r="H867" s="69">
        <f t="shared" si="89"/>
        <v>0</v>
      </c>
      <c r="I867" s="70">
        <f>ROUND($G867*H867,2)</f>
        <v>0</v>
      </c>
    </row>
    <row r="868" spans="2:9" ht="45.6">
      <c r="B868" s="368" t="s">
        <v>278</v>
      </c>
      <c r="C868" s="83"/>
      <c r="D868" s="83"/>
      <c r="E868" s="92" t="s">
        <v>149</v>
      </c>
      <c r="F868" s="62" t="s">
        <v>15</v>
      </c>
      <c r="G868" s="68">
        <v>35</v>
      </c>
      <c r="H868" s="69">
        <f t="shared" si="89"/>
        <v>0</v>
      </c>
      <c r="I868" s="70">
        <f>ROUND($G868*H868,2)</f>
        <v>0</v>
      </c>
    </row>
    <row r="869" spans="2:9" ht="13.2">
      <c r="B869" s="367" t="s">
        <v>279</v>
      </c>
      <c r="C869" s="74" t="s">
        <v>168</v>
      </c>
      <c r="D869" s="74"/>
      <c r="E869" s="90" t="s">
        <v>155</v>
      </c>
      <c r="F869" s="81" t="s">
        <v>13</v>
      </c>
      <c r="G869" s="81" t="s">
        <v>13</v>
      </c>
      <c r="H869" s="69" t="s">
        <v>13</v>
      </c>
      <c r="I869" s="65" t="s">
        <v>13</v>
      </c>
    </row>
    <row r="870" spans="2:9" ht="22.8">
      <c r="B870" s="368" t="s">
        <v>280</v>
      </c>
      <c r="C870" s="103"/>
      <c r="D870" s="103"/>
      <c r="E870" s="110" t="s">
        <v>209</v>
      </c>
      <c r="F870" s="62" t="s">
        <v>15</v>
      </c>
      <c r="G870" s="68">
        <v>180</v>
      </c>
      <c r="H870" s="69">
        <f t="shared" si="89"/>
        <v>0</v>
      </c>
      <c r="I870" s="70">
        <f>ROUND($G870*H870,2)</f>
        <v>0</v>
      </c>
    </row>
    <row r="871" spans="2:9" ht="13.2">
      <c r="B871" s="367" t="s">
        <v>282</v>
      </c>
      <c r="C871" s="74" t="s">
        <v>183</v>
      </c>
      <c r="D871" s="74"/>
      <c r="E871" s="90" t="s">
        <v>54</v>
      </c>
      <c r="F871" s="81" t="s">
        <v>13</v>
      </c>
      <c r="G871" s="81" t="s">
        <v>13</v>
      </c>
      <c r="H871" s="69" t="s">
        <v>13</v>
      </c>
      <c r="I871" s="65" t="s">
        <v>13</v>
      </c>
    </row>
    <row r="872" spans="2:9" ht="22.8">
      <c r="B872" s="368" t="s">
        <v>283</v>
      </c>
      <c r="C872" s="98"/>
      <c r="D872" s="98"/>
      <c r="E872" s="92" t="s">
        <v>156</v>
      </c>
      <c r="F872" s="62" t="s">
        <v>15</v>
      </c>
      <c r="G872" s="68">
        <v>178</v>
      </c>
      <c r="H872" s="69">
        <f t="shared" si="89"/>
        <v>0</v>
      </c>
      <c r="I872" s="70">
        <f>ROUND($G872*H872,2)</f>
        <v>0</v>
      </c>
    </row>
    <row r="873" spans="2:9" ht="13.2">
      <c r="B873" s="367" t="s">
        <v>284</v>
      </c>
      <c r="C873" s="74" t="s">
        <v>184</v>
      </c>
      <c r="D873" s="74"/>
      <c r="E873" s="90" t="s">
        <v>121</v>
      </c>
      <c r="F873" s="81" t="s">
        <v>13</v>
      </c>
      <c r="G873" s="81" t="s">
        <v>13</v>
      </c>
      <c r="H873" s="69" t="s">
        <v>13</v>
      </c>
      <c r="I873" s="49" t="s">
        <v>13</v>
      </c>
    </row>
    <row r="874" spans="2:9" ht="22.8">
      <c r="B874" s="368" t="s">
        <v>285</v>
      </c>
      <c r="C874" s="98"/>
      <c r="D874" s="98"/>
      <c r="E874" s="111" t="s">
        <v>122</v>
      </c>
      <c r="F874" s="83" t="s">
        <v>15</v>
      </c>
      <c r="G874" s="68">
        <f>180*2</f>
        <v>360</v>
      </c>
      <c r="H874" s="69">
        <f t="shared" si="89"/>
        <v>0</v>
      </c>
      <c r="I874" s="70">
        <f>ROUND($G874*H874,2)</f>
        <v>0</v>
      </c>
    </row>
    <row r="875" spans="2:9" ht="13.2">
      <c r="B875" s="367" t="s">
        <v>286</v>
      </c>
      <c r="C875" s="74" t="s">
        <v>185</v>
      </c>
      <c r="D875" s="74"/>
      <c r="E875" s="90" t="s">
        <v>151</v>
      </c>
      <c r="F875" s="81" t="s">
        <v>13</v>
      </c>
      <c r="G875" s="81" t="s">
        <v>13</v>
      </c>
      <c r="H875" s="69" t="s">
        <v>13</v>
      </c>
      <c r="I875" s="65" t="s">
        <v>13</v>
      </c>
    </row>
    <row r="876" spans="2:9" ht="22.8">
      <c r="B876" s="368" t="s">
        <v>287</v>
      </c>
      <c r="C876" s="98"/>
      <c r="D876" s="98"/>
      <c r="E876" s="90" t="s">
        <v>152</v>
      </c>
      <c r="F876" s="83" t="s">
        <v>15</v>
      </c>
      <c r="G876" s="68">
        <v>138</v>
      </c>
      <c r="H876" s="186">
        <f t="shared" si="89"/>
        <v>0</v>
      </c>
      <c r="I876" s="70">
        <f>ROUND($G876*H876,2)</f>
        <v>0</v>
      </c>
    </row>
    <row r="877" spans="2:9" ht="13.2">
      <c r="B877" s="369"/>
      <c r="C877" s="12"/>
      <c r="D877" s="25"/>
      <c r="E877" s="87" t="s">
        <v>58</v>
      </c>
      <c r="F877" s="13" t="s">
        <v>153</v>
      </c>
      <c r="G877" s="96"/>
      <c r="H877" s="184"/>
      <c r="I877" s="317" t="s">
        <v>13</v>
      </c>
    </row>
    <row r="878" spans="2:9" ht="13.2">
      <c r="B878" s="367" t="s">
        <v>288</v>
      </c>
      <c r="C878" s="385" t="s">
        <v>186</v>
      </c>
      <c r="D878" s="386"/>
      <c r="E878" s="387" t="s">
        <v>81</v>
      </c>
      <c r="F878" s="388"/>
      <c r="G878" s="381"/>
      <c r="H878" s="382"/>
      <c r="I878" s="396"/>
    </row>
    <row r="879" spans="2:9" ht="24">
      <c r="B879" s="367"/>
      <c r="C879" s="71"/>
      <c r="D879" s="72"/>
      <c r="E879" s="73" t="s">
        <v>241</v>
      </c>
      <c r="F879" s="30"/>
      <c r="G879" s="112"/>
      <c r="H879" s="184"/>
      <c r="I879" s="113"/>
    </row>
    <row r="880" spans="2:9" ht="13.2">
      <c r="B880" s="367" t="s">
        <v>289</v>
      </c>
      <c r="C880" s="74" t="s">
        <v>381</v>
      </c>
      <c r="D880" s="91"/>
      <c r="E880" s="172" t="s">
        <v>382</v>
      </c>
      <c r="F880" s="62" t="s">
        <v>13</v>
      </c>
      <c r="G880" s="114" t="s">
        <v>13</v>
      </c>
      <c r="H880" s="189" t="s">
        <v>13</v>
      </c>
      <c r="I880" s="65" t="s">
        <v>13</v>
      </c>
    </row>
    <row r="881" spans="2:9" ht="22.8">
      <c r="B881" s="368" t="s">
        <v>290</v>
      </c>
      <c r="C881" s="173"/>
      <c r="D881" s="173"/>
      <c r="E881" s="67" t="s">
        <v>383</v>
      </c>
      <c r="F881" s="62" t="s">
        <v>3</v>
      </c>
      <c r="G881" s="68">
        <v>12</v>
      </c>
      <c r="H881" s="69">
        <f t="shared" si="89"/>
        <v>0</v>
      </c>
      <c r="I881" s="70">
        <f>ROUND($G881*H881,2)</f>
        <v>0</v>
      </c>
    </row>
    <row r="882" spans="2:9" ht="13.2">
      <c r="B882" s="367" t="s">
        <v>384</v>
      </c>
      <c r="C882" s="74" t="s">
        <v>187</v>
      </c>
      <c r="D882" s="74"/>
      <c r="E882" s="61" t="s">
        <v>360</v>
      </c>
      <c r="F882" s="62" t="s">
        <v>13</v>
      </c>
      <c r="G882" s="114" t="s">
        <v>13</v>
      </c>
      <c r="H882" s="69" t="s">
        <v>13</v>
      </c>
      <c r="I882" s="65" t="s">
        <v>13</v>
      </c>
    </row>
    <row r="883" spans="2:9" ht="22.8">
      <c r="B883" s="368" t="s">
        <v>385</v>
      </c>
      <c r="C883" s="115"/>
      <c r="D883" s="115"/>
      <c r="E883" s="67" t="s">
        <v>386</v>
      </c>
      <c r="F883" s="62" t="s">
        <v>4</v>
      </c>
      <c r="G883" s="68">
        <v>64</v>
      </c>
      <c r="H883" s="69">
        <f t="shared" si="89"/>
        <v>0</v>
      </c>
      <c r="I883" s="70">
        <f t="shared" ref="I883:I886" si="91">ROUND($G883*H883,2)</f>
        <v>0</v>
      </c>
    </row>
    <row r="884" spans="2:9" ht="13.2">
      <c r="B884" s="368" t="s">
        <v>387</v>
      </c>
      <c r="C884" s="115"/>
      <c r="D884" s="115"/>
      <c r="E884" s="67" t="s">
        <v>520</v>
      </c>
      <c r="F884" s="62" t="s">
        <v>4</v>
      </c>
      <c r="G884" s="68">
        <v>25</v>
      </c>
      <c r="H884" s="69">
        <f t="shared" si="89"/>
        <v>0</v>
      </c>
      <c r="I884" s="70">
        <f t="shared" si="91"/>
        <v>0</v>
      </c>
    </row>
    <row r="885" spans="2:9" ht="22.8">
      <c r="B885" s="368" t="s">
        <v>389</v>
      </c>
      <c r="C885" s="115"/>
      <c r="D885" s="115"/>
      <c r="E885" s="67" t="s">
        <v>84</v>
      </c>
      <c r="F885" s="62" t="s">
        <v>4</v>
      </c>
      <c r="G885" s="68">
        <v>40</v>
      </c>
      <c r="H885" s="69">
        <f t="shared" si="89"/>
        <v>0</v>
      </c>
      <c r="I885" s="70">
        <f t="shared" si="91"/>
        <v>0</v>
      </c>
    </row>
    <row r="886" spans="2:9" ht="22.8">
      <c r="B886" s="368" t="s">
        <v>521</v>
      </c>
      <c r="C886" s="115"/>
      <c r="D886" s="115"/>
      <c r="E886" s="116" t="s">
        <v>157</v>
      </c>
      <c r="F886" s="62" t="s">
        <v>3</v>
      </c>
      <c r="G886" s="68">
        <v>4</v>
      </c>
      <c r="H886" s="186">
        <f t="shared" si="89"/>
        <v>0</v>
      </c>
      <c r="I886" s="70">
        <f t="shared" si="91"/>
        <v>0</v>
      </c>
    </row>
    <row r="887" spans="2:9" ht="13.2">
      <c r="B887" s="369"/>
      <c r="C887" s="73"/>
      <c r="D887" s="118"/>
      <c r="E887" s="112" t="s">
        <v>85</v>
      </c>
      <c r="F887" s="13" t="s">
        <v>153</v>
      </c>
      <c r="G887" s="119"/>
      <c r="H887" s="184"/>
      <c r="I887" s="317" t="s">
        <v>13</v>
      </c>
    </row>
    <row r="888" spans="2:9" ht="13.2">
      <c r="B888" s="368" t="s">
        <v>393</v>
      </c>
      <c r="C888" s="385" t="s">
        <v>391</v>
      </c>
      <c r="D888" s="386"/>
      <c r="E888" s="387" t="s">
        <v>392</v>
      </c>
      <c r="F888" s="388"/>
      <c r="G888" s="383"/>
      <c r="H888" s="382"/>
      <c r="I888" s="396"/>
    </row>
    <row r="889" spans="2:9" ht="24">
      <c r="B889" s="368" t="s">
        <v>396</v>
      </c>
      <c r="C889" s="71"/>
      <c r="D889" s="72"/>
      <c r="E889" s="73" t="s">
        <v>241</v>
      </c>
      <c r="F889" s="30"/>
      <c r="G889" s="105"/>
      <c r="H889" s="184"/>
      <c r="I889" s="32"/>
    </row>
    <row r="890" spans="2:9" ht="13.2">
      <c r="B890" s="368" t="s">
        <v>393</v>
      </c>
      <c r="C890" s="74" t="s">
        <v>394</v>
      </c>
      <c r="D890" s="75"/>
      <c r="E890" s="122" t="s">
        <v>395</v>
      </c>
      <c r="F890" s="62" t="s">
        <v>13</v>
      </c>
      <c r="G890" s="62" t="s">
        <v>13</v>
      </c>
      <c r="H890" s="189" t="s">
        <v>13</v>
      </c>
      <c r="I890" s="49" t="s">
        <v>13</v>
      </c>
    </row>
    <row r="891" spans="2:9" ht="13.2">
      <c r="B891" s="368" t="s">
        <v>396</v>
      </c>
      <c r="C891" s="98"/>
      <c r="D891" s="99"/>
      <c r="E891" s="122" t="s">
        <v>397</v>
      </c>
      <c r="F891" s="62" t="s">
        <v>13</v>
      </c>
      <c r="G891" s="62" t="s">
        <v>13</v>
      </c>
      <c r="H891" s="69" t="s">
        <v>13</v>
      </c>
      <c r="I891" s="49" t="s">
        <v>13</v>
      </c>
    </row>
    <row r="892" spans="2:9" ht="13.2">
      <c r="B892" s="368" t="s">
        <v>398</v>
      </c>
      <c r="C892" s="103"/>
      <c r="D892" s="104"/>
      <c r="E892" s="80" t="s">
        <v>522</v>
      </c>
      <c r="F892" s="62" t="s">
        <v>3</v>
      </c>
      <c r="G892" s="68">
        <v>2</v>
      </c>
      <c r="H892" s="69">
        <f t="shared" si="89"/>
        <v>0</v>
      </c>
      <c r="I892" s="70">
        <f t="shared" ref="I892:I894" si="92">ROUND($G892*H892,2)</f>
        <v>0</v>
      </c>
    </row>
    <row r="893" spans="2:9" ht="13.2">
      <c r="B893" s="368" t="s">
        <v>400</v>
      </c>
      <c r="C893" s="103"/>
      <c r="D893" s="104"/>
      <c r="E893" s="80" t="s">
        <v>523</v>
      </c>
      <c r="F893" s="62" t="s">
        <v>3</v>
      </c>
      <c r="G893" s="68">
        <v>6</v>
      </c>
      <c r="H893" s="69">
        <f t="shared" si="89"/>
        <v>0</v>
      </c>
      <c r="I893" s="70">
        <f t="shared" si="92"/>
        <v>0</v>
      </c>
    </row>
    <row r="894" spans="2:9" ht="13.2">
      <c r="B894" s="368" t="s">
        <v>402</v>
      </c>
      <c r="C894" s="101"/>
      <c r="D894" s="102"/>
      <c r="E894" s="80" t="s">
        <v>524</v>
      </c>
      <c r="F894" s="62" t="s">
        <v>3</v>
      </c>
      <c r="G894" s="68">
        <v>4</v>
      </c>
      <c r="H894" s="186">
        <f t="shared" si="89"/>
        <v>0</v>
      </c>
      <c r="I894" s="70">
        <f t="shared" si="92"/>
        <v>0</v>
      </c>
    </row>
    <row r="895" spans="2:9" ht="13.2">
      <c r="B895" s="369"/>
      <c r="C895" s="12"/>
      <c r="D895" s="25"/>
      <c r="E895" s="87" t="s">
        <v>404</v>
      </c>
      <c r="F895" s="13" t="s">
        <v>153</v>
      </c>
      <c r="G895" s="119"/>
      <c r="H895" s="184"/>
      <c r="I895" s="317" t="s">
        <v>13</v>
      </c>
    </row>
    <row r="896" spans="2:9" ht="13.2">
      <c r="B896" s="367" t="s">
        <v>292</v>
      </c>
      <c r="C896" s="375" t="s">
        <v>188</v>
      </c>
      <c r="D896" s="374"/>
      <c r="E896" s="376" t="s">
        <v>59</v>
      </c>
      <c r="F896" s="377"/>
      <c r="G896" s="381"/>
      <c r="H896" s="382"/>
      <c r="I896" s="396"/>
    </row>
    <row r="897" spans="2:9" ht="24">
      <c r="B897" s="367"/>
      <c r="C897" s="71"/>
      <c r="D897" s="72"/>
      <c r="E897" s="73" t="s">
        <v>241</v>
      </c>
      <c r="F897" s="30"/>
      <c r="G897" s="31"/>
      <c r="H897" s="184"/>
      <c r="I897" s="32"/>
    </row>
    <row r="898" spans="2:9" ht="13.2">
      <c r="B898" s="367" t="s">
        <v>293</v>
      </c>
      <c r="C898" s="120" t="s">
        <v>405</v>
      </c>
      <c r="D898" s="121"/>
      <c r="E898" s="122" t="s">
        <v>406</v>
      </c>
      <c r="F898" s="62" t="s">
        <v>13</v>
      </c>
      <c r="G898" s="62" t="s">
        <v>13</v>
      </c>
      <c r="H898" s="189" t="s">
        <v>13</v>
      </c>
      <c r="I898" s="65" t="s">
        <v>13</v>
      </c>
    </row>
    <row r="899" spans="2:9" ht="57">
      <c r="B899" s="368" t="s">
        <v>294</v>
      </c>
      <c r="C899" s="123"/>
      <c r="D899" s="124"/>
      <c r="E899" s="80" t="s">
        <v>407</v>
      </c>
      <c r="F899" s="81" t="s">
        <v>4</v>
      </c>
      <c r="G899" s="68">
        <f>24.8</f>
        <v>24.8</v>
      </c>
      <c r="H899" s="69">
        <f t="shared" ref="H899:H944" si="93">L899*$K$5</f>
        <v>0</v>
      </c>
      <c r="I899" s="70">
        <f>ROUND($G899*H899,2)</f>
        <v>0</v>
      </c>
    </row>
    <row r="900" spans="2:9" ht="13.2">
      <c r="B900" s="367" t="s">
        <v>408</v>
      </c>
      <c r="C900" s="120" t="s">
        <v>189</v>
      </c>
      <c r="D900" s="121"/>
      <c r="E900" s="122" t="s">
        <v>60</v>
      </c>
      <c r="F900" s="62" t="s">
        <v>13</v>
      </c>
      <c r="G900" s="62" t="s">
        <v>13</v>
      </c>
      <c r="H900" s="69" t="s">
        <v>13</v>
      </c>
      <c r="I900" s="65" t="s">
        <v>13</v>
      </c>
    </row>
    <row r="901" spans="2:9" ht="34.200000000000003">
      <c r="B901" s="368" t="s">
        <v>409</v>
      </c>
      <c r="C901" s="123"/>
      <c r="D901" s="124"/>
      <c r="E901" s="80" t="s">
        <v>410</v>
      </c>
      <c r="F901" s="81" t="s">
        <v>4</v>
      </c>
      <c r="G901" s="68">
        <v>14.5</v>
      </c>
      <c r="H901" s="69">
        <f t="shared" si="93"/>
        <v>0</v>
      </c>
      <c r="I901" s="70">
        <f>ROUND($G901*H901,2)</f>
        <v>0</v>
      </c>
    </row>
    <row r="902" spans="2:9" ht="34.200000000000003">
      <c r="B902" s="368" t="s">
        <v>411</v>
      </c>
      <c r="C902" s="123"/>
      <c r="D902" s="124"/>
      <c r="E902" s="127" t="s">
        <v>525</v>
      </c>
      <c r="F902" s="81" t="s">
        <v>4</v>
      </c>
      <c r="G902" s="68">
        <v>15</v>
      </c>
      <c r="H902" s="69">
        <f t="shared" si="93"/>
        <v>0</v>
      </c>
      <c r="I902" s="70">
        <f>ROUND($G902*H902,2)</f>
        <v>0</v>
      </c>
    </row>
    <row r="903" spans="2:9" ht="34.200000000000003">
      <c r="B903" s="368" t="s">
        <v>526</v>
      </c>
      <c r="C903" s="125"/>
      <c r="D903" s="126"/>
      <c r="E903" s="127" t="s">
        <v>144</v>
      </c>
      <c r="F903" s="128" t="s">
        <v>4</v>
      </c>
      <c r="G903" s="68">
        <v>12</v>
      </c>
      <c r="H903" s="186">
        <f t="shared" si="93"/>
        <v>0</v>
      </c>
      <c r="I903" s="70">
        <f>ROUND($G903*H903,2)</f>
        <v>0</v>
      </c>
    </row>
    <row r="904" spans="2:9" ht="13.2">
      <c r="B904" s="367" t="s">
        <v>297</v>
      </c>
      <c r="C904" s="375" t="s">
        <v>190</v>
      </c>
      <c r="D904" s="374"/>
      <c r="E904" s="376" t="s">
        <v>62</v>
      </c>
      <c r="F904" s="377"/>
      <c r="G904" s="381"/>
      <c r="H904" s="382"/>
      <c r="I904" s="396"/>
    </row>
    <row r="905" spans="2:9" ht="24">
      <c r="B905" s="367"/>
      <c r="C905" s="71"/>
      <c r="D905" s="72"/>
      <c r="E905" s="73" t="s">
        <v>241</v>
      </c>
      <c r="F905" s="30"/>
      <c r="G905" s="31"/>
      <c r="H905" s="184"/>
      <c r="I905" s="32"/>
    </row>
    <row r="906" spans="2:9" ht="13.2">
      <c r="B906" s="367" t="s">
        <v>298</v>
      </c>
      <c r="C906" s="60" t="s">
        <v>191</v>
      </c>
      <c r="D906" s="60"/>
      <c r="E906" s="90" t="s">
        <v>244</v>
      </c>
      <c r="F906" s="62" t="s">
        <v>13</v>
      </c>
      <c r="G906" s="62" t="s">
        <v>13</v>
      </c>
      <c r="H906" s="189" t="s">
        <v>13</v>
      </c>
      <c r="I906" s="65" t="s">
        <v>13</v>
      </c>
    </row>
    <row r="907" spans="2:9" ht="22.8">
      <c r="B907" s="368" t="s">
        <v>299</v>
      </c>
      <c r="C907" s="66"/>
      <c r="D907" s="66"/>
      <c r="E907" s="133" t="s">
        <v>245</v>
      </c>
      <c r="F907" s="132" t="s">
        <v>23</v>
      </c>
      <c r="G907" s="68">
        <f>2830*2</f>
        <v>5660</v>
      </c>
      <c r="H907" s="69">
        <f t="shared" si="93"/>
        <v>0</v>
      </c>
      <c r="I907" s="70">
        <f t="shared" ref="I907:I909" si="94">ROUND($G907*H907,2)</f>
        <v>0</v>
      </c>
    </row>
    <row r="908" spans="2:9" ht="22.8">
      <c r="B908" s="368" t="s">
        <v>300</v>
      </c>
      <c r="C908" s="66"/>
      <c r="D908" s="66"/>
      <c r="E908" s="133" t="s">
        <v>246</v>
      </c>
      <c r="F908" s="132" t="s">
        <v>23</v>
      </c>
      <c r="G908" s="68">
        <v>282</v>
      </c>
      <c r="H908" s="69">
        <f t="shared" si="93"/>
        <v>0</v>
      </c>
      <c r="I908" s="70">
        <f t="shared" si="94"/>
        <v>0</v>
      </c>
    </row>
    <row r="909" spans="2:9" ht="22.8">
      <c r="B909" s="368" t="s">
        <v>527</v>
      </c>
      <c r="C909" s="66"/>
      <c r="D909" s="66"/>
      <c r="E909" s="216" t="s">
        <v>528</v>
      </c>
      <c r="F909" s="132" t="s">
        <v>23</v>
      </c>
      <c r="G909" s="68">
        <v>1974</v>
      </c>
      <c r="H909" s="186">
        <f t="shared" si="93"/>
        <v>0</v>
      </c>
      <c r="I909" s="70">
        <f t="shared" si="94"/>
        <v>0</v>
      </c>
    </row>
    <row r="910" spans="2:9" ht="13.2">
      <c r="B910" s="369"/>
      <c r="C910" s="12"/>
      <c r="D910" s="25"/>
      <c r="E910" s="87" t="s">
        <v>63</v>
      </c>
      <c r="F910" s="13"/>
      <c r="G910" s="134"/>
      <c r="H910" s="184"/>
      <c r="I910" s="317" t="s">
        <v>13</v>
      </c>
    </row>
    <row r="911" spans="2:9" ht="13.2">
      <c r="B911" s="367" t="s">
        <v>301</v>
      </c>
      <c r="C911" s="375" t="s">
        <v>192</v>
      </c>
      <c r="D911" s="374"/>
      <c r="E911" s="376" t="s">
        <v>64</v>
      </c>
      <c r="F911" s="377"/>
      <c r="G911" s="381"/>
      <c r="H911" s="382"/>
      <c r="I911" s="396"/>
    </row>
    <row r="912" spans="2:9" ht="24">
      <c r="B912" s="367"/>
      <c r="C912" s="71"/>
      <c r="D912" s="72"/>
      <c r="E912" s="73" t="s">
        <v>241</v>
      </c>
      <c r="F912" s="30"/>
      <c r="G912" s="31"/>
      <c r="H912" s="184"/>
      <c r="I912" s="32"/>
    </row>
    <row r="913" spans="2:9" ht="13.2">
      <c r="B913" s="367" t="s">
        <v>302</v>
      </c>
      <c r="C913" s="60" t="s">
        <v>193</v>
      </c>
      <c r="D913" s="60"/>
      <c r="E913" s="135" t="s">
        <v>66</v>
      </c>
      <c r="F913" s="136" t="s">
        <v>13</v>
      </c>
      <c r="G913" s="136" t="s">
        <v>13</v>
      </c>
      <c r="H913" s="189" t="s">
        <v>13</v>
      </c>
      <c r="I913" s="65" t="s">
        <v>13</v>
      </c>
    </row>
    <row r="914" spans="2:9" ht="22.8">
      <c r="B914" s="368" t="s">
        <v>303</v>
      </c>
      <c r="C914" s="83"/>
      <c r="D914" s="83"/>
      <c r="E914" s="116" t="s">
        <v>158</v>
      </c>
      <c r="F914" s="137" t="s">
        <v>16</v>
      </c>
      <c r="G914" s="68">
        <v>260</v>
      </c>
      <c r="H914" s="69">
        <f t="shared" si="93"/>
        <v>0</v>
      </c>
      <c r="I914" s="70">
        <f>ROUND($G914*H914,2)</f>
        <v>0</v>
      </c>
    </row>
    <row r="915" spans="2:9" ht="13.2">
      <c r="B915" s="367" t="s">
        <v>304</v>
      </c>
      <c r="C915" s="74" t="s">
        <v>194</v>
      </c>
      <c r="D915" s="74"/>
      <c r="E915" s="135" t="s">
        <v>68</v>
      </c>
      <c r="F915" s="136" t="s">
        <v>13</v>
      </c>
      <c r="G915" s="136" t="s">
        <v>13</v>
      </c>
      <c r="H915" s="69" t="s">
        <v>13</v>
      </c>
      <c r="I915" s="65" t="s">
        <v>13</v>
      </c>
    </row>
    <row r="916" spans="2:9" ht="34.799999999999997">
      <c r="B916" s="368" t="s">
        <v>305</v>
      </c>
      <c r="C916" s="98"/>
      <c r="D916" s="98"/>
      <c r="E916" s="116" t="s">
        <v>208</v>
      </c>
      <c r="F916" s="136" t="s">
        <v>4</v>
      </c>
      <c r="G916" s="68">
        <v>40</v>
      </c>
      <c r="H916" s="69">
        <f t="shared" si="93"/>
        <v>0</v>
      </c>
      <c r="I916" s="70">
        <f>ROUND($G916*H916,2)</f>
        <v>0</v>
      </c>
    </row>
    <row r="917" spans="2:9" ht="13.2">
      <c r="B917" s="368" t="s">
        <v>306</v>
      </c>
      <c r="C917" s="101"/>
      <c r="D917" s="103"/>
      <c r="E917" s="138" t="s">
        <v>133</v>
      </c>
      <c r="F917" s="136" t="s">
        <v>3</v>
      </c>
      <c r="G917" s="117">
        <v>1</v>
      </c>
      <c r="H917" s="69">
        <f t="shared" si="93"/>
        <v>0</v>
      </c>
      <c r="I917" s="70">
        <f>ROUND($G917*H917,2)</f>
        <v>0</v>
      </c>
    </row>
    <row r="918" spans="2:9" ht="13.2">
      <c r="B918" s="367" t="s">
        <v>307</v>
      </c>
      <c r="C918" s="74" t="s">
        <v>169</v>
      </c>
      <c r="D918" s="75"/>
      <c r="E918" s="122" t="s">
        <v>69</v>
      </c>
      <c r="F918" s="62" t="s">
        <v>13</v>
      </c>
      <c r="G918" s="62" t="s">
        <v>13</v>
      </c>
      <c r="H918" s="69" t="s">
        <v>13</v>
      </c>
      <c r="I918" s="65" t="s">
        <v>13</v>
      </c>
    </row>
    <row r="919" spans="2:9" ht="34.200000000000003">
      <c r="B919" s="368" t="s">
        <v>308</v>
      </c>
      <c r="C919" s="98"/>
      <c r="D919" s="99"/>
      <c r="E919" s="80" t="s">
        <v>161</v>
      </c>
      <c r="F919" s="81" t="s">
        <v>16</v>
      </c>
      <c r="G919" s="68">
        <v>150</v>
      </c>
      <c r="H919" s="69">
        <f t="shared" si="93"/>
        <v>0</v>
      </c>
      <c r="I919" s="70">
        <f t="shared" ref="I919:I921" si="95">ROUND($G919*H919,2)</f>
        <v>0</v>
      </c>
    </row>
    <row r="920" spans="2:9" ht="22.8">
      <c r="B920" s="368" t="s">
        <v>309</v>
      </c>
      <c r="C920" s="98"/>
      <c r="D920" s="99"/>
      <c r="E920" s="80" t="s">
        <v>70</v>
      </c>
      <c r="F920" s="62" t="s">
        <v>4</v>
      </c>
      <c r="G920" s="68">
        <v>53</v>
      </c>
      <c r="H920" s="69">
        <f t="shared" si="93"/>
        <v>0</v>
      </c>
      <c r="I920" s="70">
        <f t="shared" si="95"/>
        <v>0</v>
      </c>
    </row>
    <row r="921" spans="2:9" ht="22.8">
      <c r="B921" s="368" t="s">
        <v>310</v>
      </c>
      <c r="C921" s="88"/>
      <c r="D921" s="88"/>
      <c r="E921" s="139" t="s">
        <v>142</v>
      </c>
      <c r="F921" s="62" t="s">
        <v>4</v>
      </c>
      <c r="G921" s="68">
        <v>13</v>
      </c>
      <c r="H921" s="69">
        <f t="shared" si="93"/>
        <v>0</v>
      </c>
      <c r="I921" s="70">
        <f t="shared" si="95"/>
        <v>0</v>
      </c>
    </row>
    <row r="922" spans="2:9" ht="13.2">
      <c r="B922" s="367" t="s">
        <v>311</v>
      </c>
      <c r="C922" s="60" t="s">
        <v>195</v>
      </c>
      <c r="D922" s="60"/>
      <c r="E922" s="90" t="s">
        <v>71</v>
      </c>
      <c r="F922" s="140" t="s">
        <v>13</v>
      </c>
      <c r="G922" s="140" t="s">
        <v>13</v>
      </c>
      <c r="H922" s="69" t="s">
        <v>13</v>
      </c>
      <c r="I922" s="65" t="s">
        <v>13</v>
      </c>
    </row>
    <row r="923" spans="2:9" ht="57">
      <c r="B923" s="368" t="s">
        <v>312</v>
      </c>
      <c r="C923" s="66"/>
      <c r="D923" s="66"/>
      <c r="E923" s="67" t="s">
        <v>127</v>
      </c>
      <c r="F923" s="81" t="s">
        <v>16</v>
      </c>
      <c r="G923" s="68">
        <v>343</v>
      </c>
      <c r="H923" s="69">
        <f t="shared" si="93"/>
        <v>0</v>
      </c>
      <c r="I923" s="70">
        <f t="shared" ref="I923:I924" si="96">ROUND($G923*H923,2)</f>
        <v>0</v>
      </c>
    </row>
    <row r="924" spans="2:9" ht="45.6">
      <c r="B924" s="368" t="s">
        <v>313</v>
      </c>
      <c r="C924" s="83"/>
      <c r="D924" s="83"/>
      <c r="E924" s="67" t="s">
        <v>125</v>
      </c>
      <c r="F924" s="81" t="s">
        <v>16</v>
      </c>
      <c r="G924" s="68">
        <v>182</v>
      </c>
      <c r="H924" s="69">
        <f t="shared" si="93"/>
        <v>0</v>
      </c>
      <c r="I924" s="70">
        <f t="shared" si="96"/>
        <v>0</v>
      </c>
    </row>
    <row r="925" spans="2:9" ht="13.2">
      <c r="B925" s="367" t="s">
        <v>314</v>
      </c>
      <c r="C925" s="60" t="s">
        <v>170</v>
      </c>
      <c r="D925" s="60"/>
      <c r="E925" s="61" t="s">
        <v>72</v>
      </c>
      <c r="F925" s="81" t="s">
        <v>13</v>
      </c>
      <c r="G925" s="143" t="s">
        <v>13</v>
      </c>
      <c r="H925" s="69" t="s">
        <v>13</v>
      </c>
      <c r="I925" s="65" t="s">
        <v>13</v>
      </c>
    </row>
    <row r="926" spans="2:9" ht="34.200000000000003">
      <c r="B926" s="368" t="s">
        <v>315</v>
      </c>
      <c r="C926" s="66"/>
      <c r="D926" s="66"/>
      <c r="E926" s="144" t="s">
        <v>148</v>
      </c>
      <c r="F926" s="81" t="s">
        <v>4</v>
      </c>
      <c r="G926" s="68">
        <v>15</v>
      </c>
      <c r="H926" s="69">
        <f t="shared" si="93"/>
        <v>0</v>
      </c>
      <c r="I926" s="70">
        <f>ROUND($G926*H926,2)</f>
        <v>0</v>
      </c>
    </row>
    <row r="927" spans="2:9" ht="22.8">
      <c r="B927" s="367" t="s">
        <v>316</v>
      </c>
      <c r="C927" s="60" t="s">
        <v>196</v>
      </c>
      <c r="D927" s="60"/>
      <c r="E927" s="145" t="s">
        <v>131</v>
      </c>
      <c r="F927" s="146" t="s">
        <v>13</v>
      </c>
      <c r="G927" s="146" t="s">
        <v>13</v>
      </c>
      <c r="H927" s="69" t="s">
        <v>13</v>
      </c>
      <c r="I927" s="65" t="s">
        <v>13</v>
      </c>
    </row>
    <row r="928" spans="2:9" ht="34.200000000000003">
      <c r="B928" s="368" t="s">
        <v>317</v>
      </c>
      <c r="C928" s="66"/>
      <c r="D928" s="66"/>
      <c r="E928" s="147" t="s">
        <v>529</v>
      </c>
      <c r="F928" s="146" t="s">
        <v>4</v>
      </c>
      <c r="G928" s="68">
        <v>16</v>
      </c>
      <c r="H928" s="69">
        <f t="shared" si="93"/>
        <v>0</v>
      </c>
      <c r="I928" s="70">
        <f t="shared" ref="I928:I929" si="97">ROUND($G928*H928,2)</f>
        <v>0</v>
      </c>
    </row>
    <row r="929" spans="2:9" ht="22.8">
      <c r="B929" s="368" t="s">
        <v>318</v>
      </c>
      <c r="C929" s="66"/>
      <c r="D929" s="66"/>
      <c r="E929" s="147" t="s">
        <v>147</v>
      </c>
      <c r="F929" s="146" t="s">
        <v>4</v>
      </c>
      <c r="G929" s="68">
        <v>12</v>
      </c>
      <c r="H929" s="69">
        <f t="shared" si="93"/>
        <v>0</v>
      </c>
      <c r="I929" s="70">
        <f t="shared" si="97"/>
        <v>0</v>
      </c>
    </row>
    <row r="930" spans="2:9" ht="15.6">
      <c r="B930" s="368" t="s">
        <v>319</v>
      </c>
      <c r="C930" s="66"/>
      <c r="D930" s="66"/>
      <c r="E930" s="147" t="s">
        <v>145</v>
      </c>
      <c r="F930" s="146" t="s">
        <v>76</v>
      </c>
      <c r="G930" s="68">
        <v>2</v>
      </c>
      <c r="H930" s="69">
        <f t="shared" si="93"/>
        <v>0</v>
      </c>
      <c r="I930" s="70">
        <f>ROUND($G930*H930,2)</f>
        <v>0</v>
      </c>
    </row>
    <row r="931" spans="2:9" ht="22.8">
      <c r="B931" s="367" t="s">
        <v>320</v>
      </c>
      <c r="C931" s="217" t="s">
        <v>530</v>
      </c>
      <c r="D931" s="217"/>
      <c r="E931" s="110" t="s">
        <v>531</v>
      </c>
      <c r="F931" s="62" t="s">
        <v>13</v>
      </c>
      <c r="G931" s="62" t="s">
        <v>13</v>
      </c>
      <c r="H931" s="69" t="s">
        <v>13</v>
      </c>
      <c r="I931" s="49" t="s">
        <v>13</v>
      </c>
    </row>
    <row r="932" spans="2:9" ht="22.8">
      <c r="B932" s="368" t="s">
        <v>321</v>
      </c>
      <c r="C932" s="218"/>
      <c r="D932" s="218"/>
      <c r="E932" s="131" t="s">
        <v>532</v>
      </c>
      <c r="F932" s="81" t="s">
        <v>16</v>
      </c>
      <c r="G932" s="68">
        <v>102</v>
      </c>
      <c r="H932" s="69">
        <f t="shared" si="93"/>
        <v>0</v>
      </c>
      <c r="I932" s="70">
        <f t="shared" ref="I932:I933" si="98">ROUND($G932*H932,2)</f>
        <v>0</v>
      </c>
    </row>
    <row r="933" spans="2:9" ht="13.2">
      <c r="B933" s="368" t="s">
        <v>322</v>
      </c>
      <c r="C933" s="66"/>
      <c r="D933" s="66"/>
      <c r="E933" s="131" t="s">
        <v>533</v>
      </c>
      <c r="F933" s="81" t="s">
        <v>16</v>
      </c>
      <c r="G933" s="68">
        <v>48</v>
      </c>
      <c r="H933" s="69">
        <f t="shared" si="93"/>
        <v>0</v>
      </c>
      <c r="I933" s="70">
        <f t="shared" si="98"/>
        <v>0</v>
      </c>
    </row>
    <row r="934" spans="2:9" ht="22.8">
      <c r="B934" s="367" t="s">
        <v>323</v>
      </c>
      <c r="C934" s="74" t="s">
        <v>197</v>
      </c>
      <c r="D934" s="74"/>
      <c r="E934" s="148" t="s">
        <v>73</v>
      </c>
      <c r="F934" s="81" t="s">
        <v>13</v>
      </c>
      <c r="G934" s="81" t="s">
        <v>13</v>
      </c>
      <c r="H934" s="69" t="s">
        <v>13</v>
      </c>
      <c r="I934" s="65" t="s">
        <v>13</v>
      </c>
    </row>
    <row r="935" spans="2:9" ht="13.2">
      <c r="B935" s="368" t="s">
        <v>324</v>
      </c>
      <c r="C935" s="98"/>
      <c r="D935" s="98"/>
      <c r="E935" s="149" t="s">
        <v>74</v>
      </c>
      <c r="F935" s="136" t="s">
        <v>3</v>
      </c>
      <c r="G935" s="68">
        <v>2</v>
      </c>
      <c r="H935" s="69">
        <f t="shared" si="93"/>
        <v>0</v>
      </c>
      <c r="I935" s="70">
        <f t="shared" ref="I935:I936" si="99">ROUND($G935*H935,2)</f>
        <v>0</v>
      </c>
    </row>
    <row r="936" spans="2:9" ht="22.8">
      <c r="B936" s="368" t="s">
        <v>534</v>
      </c>
      <c r="C936" s="101"/>
      <c r="D936" s="101"/>
      <c r="E936" s="150" t="s">
        <v>128</v>
      </c>
      <c r="F936" s="151" t="s">
        <v>3</v>
      </c>
      <c r="G936" s="68">
        <v>24</v>
      </c>
      <c r="H936" s="69">
        <f t="shared" si="93"/>
        <v>0</v>
      </c>
      <c r="I936" s="70">
        <f t="shared" si="99"/>
        <v>0</v>
      </c>
    </row>
    <row r="937" spans="2:9" ht="13.2">
      <c r="B937" s="367" t="s">
        <v>325</v>
      </c>
      <c r="C937" s="60" t="s">
        <v>198</v>
      </c>
      <c r="D937" s="60"/>
      <c r="E937" s="152" t="s">
        <v>75</v>
      </c>
      <c r="F937" s="153" t="s">
        <v>13</v>
      </c>
      <c r="G937" s="153" t="s">
        <v>13</v>
      </c>
      <c r="H937" s="69" t="s">
        <v>13</v>
      </c>
      <c r="I937" s="65" t="s">
        <v>13</v>
      </c>
    </row>
    <row r="938" spans="2:9" ht="13.2">
      <c r="B938" s="368" t="s">
        <v>326</v>
      </c>
      <c r="C938" s="83"/>
      <c r="D938" s="66"/>
      <c r="E938" s="141" t="s">
        <v>164</v>
      </c>
      <c r="F938" s="137" t="s">
        <v>16</v>
      </c>
      <c r="G938" s="68">
        <f>175+60</f>
        <v>235</v>
      </c>
      <c r="H938" s="69">
        <f t="shared" si="93"/>
        <v>0</v>
      </c>
      <c r="I938" s="70">
        <f>ROUND($G938*H938,2)</f>
        <v>0</v>
      </c>
    </row>
    <row r="939" spans="2:9" ht="13.2">
      <c r="B939" s="367" t="s">
        <v>535</v>
      </c>
      <c r="C939" s="191" t="s">
        <v>428</v>
      </c>
      <c r="D939" s="191"/>
      <c r="E939" s="177" t="s">
        <v>429</v>
      </c>
      <c r="F939" s="153" t="s">
        <v>13</v>
      </c>
      <c r="G939" s="153" t="s">
        <v>13</v>
      </c>
      <c r="H939" s="69" t="s">
        <v>13</v>
      </c>
      <c r="I939" s="65" t="s">
        <v>13</v>
      </c>
    </row>
    <row r="940" spans="2:9" ht="13.2">
      <c r="B940" s="368" t="s">
        <v>434</v>
      </c>
      <c r="C940" s="219"/>
      <c r="D940" s="219"/>
      <c r="E940" s="178" t="s">
        <v>430</v>
      </c>
      <c r="F940" s="146" t="s">
        <v>4</v>
      </c>
      <c r="G940" s="68">
        <v>12</v>
      </c>
      <c r="H940" s="69">
        <f t="shared" si="93"/>
        <v>0</v>
      </c>
      <c r="I940" s="70">
        <f t="shared" ref="I940:I942" si="100">ROUND($G940*H940,2)</f>
        <v>0</v>
      </c>
    </row>
    <row r="941" spans="2:9" ht="13.2">
      <c r="B941" s="368" t="s">
        <v>536</v>
      </c>
      <c r="C941" s="219"/>
      <c r="D941" s="219"/>
      <c r="E941" s="178" t="s">
        <v>537</v>
      </c>
      <c r="F941" s="146" t="s">
        <v>3</v>
      </c>
      <c r="G941" s="68">
        <v>4</v>
      </c>
      <c r="H941" s="69">
        <f t="shared" si="93"/>
        <v>0</v>
      </c>
      <c r="I941" s="70">
        <f t="shared" si="100"/>
        <v>0</v>
      </c>
    </row>
    <row r="942" spans="2:9" ht="13.2">
      <c r="B942" s="368" t="s">
        <v>538</v>
      </c>
      <c r="C942" s="219"/>
      <c r="D942" s="219"/>
      <c r="E942" s="178" t="s">
        <v>431</v>
      </c>
      <c r="F942" s="146" t="s">
        <v>3</v>
      </c>
      <c r="G942" s="68">
        <v>2</v>
      </c>
      <c r="H942" s="69">
        <f t="shared" si="93"/>
        <v>0</v>
      </c>
      <c r="I942" s="70">
        <f t="shared" si="100"/>
        <v>0</v>
      </c>
    </row>
    <row r="943" spans="2:9" ht="13.2">
      <c r="B943" s="367" t="s">
        <v>539</v>
      </c>
      <c r="C943" s="60" t="s">
        <v>199</v>
      </c>
      <c r="D943" s="60"/>
      <c r="E943" s="152" t="s">
        <v>110</v>
      </c>
      <c r="F943" s="151" t="s">
        <v>13</v>
      </c>
      <c r="G943" s="154" t="s">
        <v>13</v>
      </c>
      <c r="H943" s="69" t="s">
        <v>13</v>
      </c>
      <c r="I943" s="65" t="s">
        <v>13</v>
      </c>
    </row>
    <row r="944" spans="2:9" ht="22.8">
      <c r="B944" s="370" t="s">
        <v>540</v>
      </c>
      <c r="C944" s="66"/>
      <c r="D944" s="82"/>
      <c r="E944" s="155" t="s">
        <v>126</v>
      </c>
      <c r="F944" s="81" t="s">
        <v>16</v>
      </c>
      <c r="G944" s="68">
        <f>180*2</f>
        <v>360</v>
      </c>
      <c r="H944" s="69">
        <f t="shared" si="93"/>
        <v>0</v>
      </c>
      <c r="I944" s="70">
        <f t="shared" ref="I944" si="101">ROUND($G944*H944,2)</f>
        <v>0</v>
      </c>
    </row>
    <row r="945" spans="2:9" ht="13.8">
      <c r="B945" s="367"/>
      <c r="C945" s="571" t="s">
        <v>332</v>
      </c>
      <c r="D945" s="572"/>
      <c r="E945" s="573"/>
      <c r="F945" s="7"/>
      <c r="G945" s="220"/>
      <c r="H945" s="33"/>
      <c r="I945" s="221">
        <f>SUM(I830:I944)</f>
        <v>0</v>
      </c>
    </row>
    <row r="946" spans="2:9" ht="26.4">
      <c r="B946" s="410" t="s">
        <v>334</v>
      </c>
      <c r="C946" s="558" t="s">
        <v>548</v>
      </c>
      <c r="D946" s="559"/>
      <c r="E946" s="560"/>
      <c r="F946" s="560"/>
      <c r="G946" s="560"/>
      <c r="H946" s="560"/>
      <c r="I946" s="561"/>
    </row>
    <row r="947" spans="2:9" ht="24">
      <c r="B947" s="371" t="s">
        <v>0</v>
      </c>
      <c r="C947" s="404" t="s">
        <v>210</v>
      </c>
      <c r="D947" s="404" t="s">
        <v>333</v>
      </c>
      <c r="E947" s="405" t="s">
        <v>203</v>
      </c>
      <c r="F947" s="310" t="s">
        <v>204</v>
      </c>
      <c r="G947" s="405" t="s">
        <v>1</v>
      </c>
      <c r="H947" s="41" t="s">
        <v>111</v>
      </c>
      <c r="I947" s="406" t="s">
        <v>112</v>
      </c>
    </row>
    <row r="948" spans="2:9" ht="13.2">
      <c r="B948" s="367" t="s">
        <v>247</v>
      </c>
      <c r="C948" s="375" t="s">
        <v>171</v>
      </c>
      <c r="D948" s="374"/>
      <c r="E948" s="376" t="s">
        <v>14</v>
      </c>
      <c r="F948" s="377"/>
      <c r="G948" s="411"/>
      <c r="H948" s="379"/>
      <c r="I948" s="380"/>
    </row>
    <row r="949" spans="2:9" ht="13.2">
      <c r="B949" s="367" t="s">
        <v>250</v>
      </c>
      <c r="C949" s="375" t="s">
        <v>172</v>
      </c>
      <c r="D949" s="374"/>
      <c r="E949" s="376" t="s">
        <v>20</v>
      </c>
      <c r="F949" s="377"/>
      <c r="G949" s="411"/>
      <c r="H949" s="397"/>
      <c r="I949" s="412"/>
    </row>
    <row r="950" spans="2:9" ht="24">
      <c r="B950" s="367"/>
      <c r="C950" s="71"/>
      <c r="D950" s="72"/>
      <c r="E950" s="73" t="s">
        <v>241</v>
      </c>
      <c r="F950" s="30"/>
      <c r="G950" s="222"/>
      <c r="H950" s="32"/>
      <c r="I950" s="32"/>
    </row>
    <row r="951" spans="2:9" ht="13.2">
      <c r="B951" s="367" t="s">
        <v>251</v>
      </c>
      <c r="C951" s="74" t="s">
        <v>173</v>
      </c>
      <c r="D951" s="75"/>
      <c r="E951" s="76" t="s">
        <v>115</v>
      </c>
      <c r="F951" s="62" t="s">
        <v>13</v>
      </c>
      <c r="G951" s="63" t="s">
        <v>13</v>
      </c>
      <c r="H951" s="223" t="s">
        <v>13</v>
      </c>
      <c r="I951" s="224" t="s">
        <v>13</v>
      </c>
    </row>
    <row r="952" spans="2:9" ht="13.2">
      <c r="B952" s="369"/>
      <c r="C952" s="77"/>
      <c r="D952" s="78"/>
      <c r="E952" s="79" t="s">
        <v>117</v>
      </c>
      <c r="F952" s="62" t="s">
        <v>13</v>
      </c>
      <c r="G952" s="63" t="s">
        <v>13</v>
      </c>
      <c r="H952" s="223" t="s">
        <v>13</v>
      </c>
      <c r="I952" s="224" t="s">
        <v>13</v>
      </c>
    </row>
    <row r="953" spans="2:9" ht="13.2">
      <c r="B953" s="368" t="s">
        <v>252</v>
      </c>
      <c r="C953" s="66"/>
      <c r="D953" s="82"/>
      <c r="E953" s="80" t="s">
        <v>365</v>
      </c>
      <c r="F953" s="81" t="s">
        <v>23</v>
      </c>
      <c r="G953" s="225">
        <v>9505</v>
      </c>
      <c r="H953" s="69">
        <f t="shared" ref="H953:H1015" si="102">L953*$K$5</f>
        <v>0</v>
      </c>
      <c r="I953" s="70">
        <f>ROUND($G953*H953,2)</f>
        <v>0</v>
      </c>
    </row>
    <row r="954" spans="2:9" ht="13.2">
      <c r="B954" s="368" t="s">
        <v>253</v>
      </c>
      <c r="C954" s="66"/>
      <c r="D954" s="82"/>
      <c r="E954" s="80" t="s">
        <v>366</v>
      </c>
      <c r="F954" s="81" t="s">
        <v>23</v>
      </c>
      <c r="G954" s="225">
        <v>17272</v>
      </c>
      <c r="H954" s="69">
        <f t="shared" si="102"/>
        <v>0</v>
      </c>
      <c r="I954" s="70">
        <f>ROUND($G954*H954,2)</f>
        <v>0</v>
      </c>
    </row>
    <row r="955" spans="2:9" ht="13.2">
      <c r="B955" s="368" t="s">
        <v>254</v>
      </c>
      <c r="C955" s="83"/>
      <c r="D955" s="84"/>
      <c r="E955" s="80" t="s">
        <v>509</v>
      </c>
      <c r="F955" s="81" t="s">
        <v>23</v>
      </c>
      <c r="G955" s="225">
        <v>45385</v>
      </c>
      <c r="H955" s="186">
        <f t="shared" si="102"/>
        <v>0</v>
      </c>
      <c r="I955" s="70">
        <f>ROUND($G955*H955,2)</f>
        <v>0</v>
      </c>
    </row>
    <row r="956" spans="2:9" ht="13.2">
      <c r="B956" s="369"/>
      <c r="C956" s="83"/>
      <c r="D956" s="84"/>
      <c r="E956" s="87" t="s">
        <v>26</v>
      </c>
      <c r="F956" s="81" t="s">
        <v>153</v>
      </c>
      <c r="G956" s="226"/>
      <c r="H956" s="184"/>
      <c r="I956" s="318" t="s">
        <v>13</v>
      </c>
    </row>
    <row r="957" spans="2:9" ht="13.2">
      <c r="B957" s="367" t="s">
        <v>256</v>
      </c>
      <c r="C957" s="375" t="s">
        <v>174</v>
      </c>
      <c r="D957" s="374"/>
      <c r="E957" s="376" t="s">
        <v>27</v>
      </c>
      <c r="F957" s="377"/>
      <c r="G957" s="411"/>
      <c r="H957" s="382"/>
      <c r="I957" s="413"/>
    </row>
    <row r="958" spans="2:9" ht="24">
      <c r="B958" s="367"/>
      <c r="C958" s="71"/>
      <c r="D958" s="72"/>
      <c r="E958" s="73" t="s">
        <v>241</v>
      </c>
      <c r="F958" s="30"/>
      <c r="G958" s="222"/>
      <c r="H958" s="184"/>
      <c r="I958" s="32"/>
    </row>
    <row r="959" spans="2:9" ht="13.2">
      <c r="B959" s="367" t="s">
        <v>257</v>
      </c>
      <c r="C959" s="74" t="s">
        <v>175</v>
      </c>
      <c r="D959" s="75"/>
      <c r="E959" s="76" t="s">
        <v>29</v>
      </c>
      <c r="F959" s="62" t="s">
        <v>13</v>
      </c>
      <c r="G959" s="63" t="s">
        <v>13</v>
      </c>
      <c r="H959" s="189" t="s">
        <v>13</v>
      </c>
      <c r="I959" s="224" t="s">
        <v>13</v>
      </c>
    </row>
    <row r="960" spans="2:9" ht="22.8">
      <c r="B960" s="368" t="s">
        <v>258</v>
      </c>
      <c r="C960" s="98"/>
      <c r="D960" s="99"/>
      <c r="E960" s="76" t="s">
        <v>367</v>
      </c>
      <c r="F960" s="62" t="s">
        <v>17</v>
      </c>
      <c r="G960" s="225">
        <v>62</v>
      </c>
      <c r="H960" s="69">
        <f t="shared" si="102"/>
        <v>0</v>
      </c>
      <c r="I960" s="70">
        <f>ROUND($G960*H960,2)</f>
        <v>0</v>
      </c>
    </row>
    <row r="961" spans="2:9" ht="13.2">
      <c r="B961" s="367" t="s">
        <v>259</v>
      </c>
      <c r="C961" s="66" t="s">
        <v>176</v>
      </c>
      <c r="D961" s="66"/>
      <c r="E961" s="90" t="s">
        <v>31</v>
      </c>
      <c r="F961" s="81" t="s">
        <v>13</v>
      </c>
      <c r="G961" s="228" t="s">
        <v>13</v>
      </c>
      <c r="H961" s="69" t="s">
        <v>13</v>
      </c>
      <c r="I961" s="224" t="s">
        <v>13</v>
      </c>
    </row>
    <row r="962" spans="2:9" ht="13.2">
      <c r="B962" s="368" t="s">
        <v>260</v>
      </c>
      <c r="C962" s="66"/>
      <c r="D962" s="66"/>
      <c r="E962" s="67" t="s">
        <v>450</v>
      </c>
      <c r="F962" s="62" t="s">
        <v>17</v>
      </c>
      <c r="G962" s="225">
        <v>145</v>
      </c>
      <c r="H962" s="69">
        <f t="shared" si="102"/>
        <v>0</v>
      </c>
      <c r="I962" s="70">
        <f>ROUND($G962*H962,2)</f>
        <v>0</v>
      </c>
    </row>
    <row r="963" spans="2:9" ht="13.2">
      <c r="B963" s="367" t="s">
        <v>261</v>
      </c>
      <c r="C963" s="66" t="s">
        <v>177</v>
      </c>
      <c r="D963" s="66"/>
      <c r="E963" s="90" t="s">
        <v>129</v>
      </c>
      <c r="F963" s="81" t="s">
        <v>13</v>
      </c>
      <c r="G963" s="228" t="s">
        <v>13</v>
      </c>
      <c r="H963" s="69" t="s">
        <v>13</v>
      </c>
      <c r="I963" s="175" t="s">
        <v>13</v>
      </c>
    </row>
    <row r="964" spans="2:9" ht="13.2">
      <c r="B964" s="368" t="s">
        <v>262</v>
      </c>
      <c r="C964" s="66"/>
      <c r="D964" s="66"/>
      <c r="E964" s="67" t="s">
        <v>371</v>
      </c>
      <c r="F964" s="62" t="s">
        <v>17</v>
      </c>
      <c r="G964" s="225">
        <v>15</v>
      </c>
      <c r="H964" s="69">
        <f t="shared" si="102"/>
        <v>0</v>
      </c>
      <c r="I964" s="70">
        <f>ROUND($G964*H964,2)</f>
        <v>0</v>
      </c>
    </row>
    <row r="965" spans="2:9" ht="13.2">
      <c r="B965" s="367" t="s">
        <v>263</v>
      </c>
      <c r="C965" s="60" t="s">
        <v>541</v>
      </c>
      <c r="D965" s="60"/>
      <c r="E965" s="90" t="s">
        <v>542</v>
      </c>
      <c r="F965" s="62" t="s">
        <v>13</v>
      </c>
      <c r="G965" s="63" t="s">
        <v>13</v>
      </c>
      <c r="H965" s="69" t="s">
        <v>13</v>
      </c>
      <c r="I965" s="224" t="s">
        <v>13</v>
      </c>
    </row>
    <row r="966" spans="2:9" ht="13.2">
      <c r="B966" s="368" t="s">
        <v>264</v>
      </c>
      <c r="C966" s="66"/>
      <c r="D966" s="66"/>
      <c r="E966" s="90" t="s">
        <v>518</v>
      </c>
      <c r="F966" s="62" t="s">
        <v>17</v>
      </c>
      <c r="G966" s="93">
        <v>275</v>
      </c>
      <c r="H966" s="69">
        <f t="shared" si="102"/>
        <v>0</v>
      </c>
      <c r="I966" s="70">
        <f>ROUND($G966*H966,2)</f>
        <v>0</v>
      </c>
    </row>
    <row r="967" spans="2:9" ht="13.2">
      <c r="B967" s="369"/>
      <c r="C967" s="62"/>
      <c r="D967" s="95"/>
      <c r="E967" s="87" t="s">
        <v>39</v>
      </c>
      <c r="F967" s="62" t="s">
        <v>153</v>
      </c>
      <c r="G967" s="96"/>
      <c r="H967"/>
      <c r="I967" s="227" t="s">
        <v>13</v>
      </c>
    </row>
    <row r="968" spans="2:9" ht="13.2">
      <c r="B968" s="367" t="s">
        <v>265</v>
      </c>
      <c r="C968" s="74" t="s">
        <v>181</v>
      </c>
      <c r="D968" s="75"/>
      <c r="E968" s="97" t="s">
        <v>139</v>
      </c>
      <c r="F968" s="62" t="s">
        <v>13</v>
      </c>
      <c r="G968" s="63" t="s">
        <v>13</v>
      </c>
      <c r="H968" s="69" t="s">
        <v>13</v>
      </c>
      <c r="I968" s="224" t="s">
        <v>13</v>
      </c>
    </row>
    <row r="969" spans="2:9" ht="22.8">
      <c r="B969" s="368" t="s">
        <v>266</v>
      </c>
      <c r="C969" s="98"/>
      <c r="D969" s="99"/>
      <c r="E969" s="100" t="s">
        <v>140</v>
      </c>
      <c r="F969" s="62" t="s">
        <v>17</v>
      </c>
      <c r="G969" s="225">
        <v>66</v>
      </c>
      <c r="H969" s="69">
        <f t="shared" si="102"/>
        <v>0</v>
      </c>
      <c r="I969" s="70">
        <f t="shared" ref="I969:I970" si="103">ROUND($G969*H969,2)</f>
        <v>0</v>
      </c>
    </row>
    <row r="970" spans="2:9" ht="22.8">
      <c r="B970" s="368" t="s">
        <v>549</v>
      </c>
      <c r="C970" s="103"/>
      <c r="D970" s="104"/>
      <c r="E970" s="100" t="s">
        <v>141</v>
      </c>
      <c r="F970" s="62" t="s">
        <v>17</v>
      </c>
      <c r="G970" s="225">
        <v>1.5</v>
      </c>
      <c r="H970" s="69">
        <f t="shared" si="102"/>
        <v>0</v>
      </c>
      <c r="I970" s="70">
        <f t="shared" si="103"/>
        <v>0</v>
      </c>
    </row>
    <row r="971" spans="2:9" ht="13.2">
      <c r="B971" s="369"/>
      <c r="C971" s="103"/>
      <c r="D971" s="104"/>
      <c r="E971" s="87" t="s">
        <v>43</v>
      </c>
      <c r="F971" s="62" t="s">
        <v>153</v>
      </c>
      <c r="G971" s="229"/>
      <c r="H971" s="227" t="s">
        <v>13</v>
      </c>
      <c r="I971" s="227" t="s">
        <v>13</v>
      </c>
    </row>
    <row r="972" spans="2:9" ht="13.2">
      <c r="B972" s="369"/>
      <c r="C972" s="12"/>
      <c r="D972" s="25"/>
      <c r="E972" s="87" t="s">
        <v>46</v>
      </c>
      <c r="F972" s="13" t="s">
        <v>153</v>
      </c>
      <c r="G972" s="96"/>
      <c r="H972" s="227" t="s">
        <v>13</v>
      </c>
      <c r="I972" s="227" t="s">
        <v>13</v>
      </c>
    </row>
    <row r="973" spans="2:9" ht="13.2">
      <c r="B973" s="367" t="s">
        <v>275</v>
      </c>
      <c r="C973" s="375" t="s">
        <v>201</v>
      </c>
      <c r="D973" s="374"/>
      <c r="E973" s="407" t="s">
        <v>380</v>
      </c>
      <c r="F973" s="377"/>
      <c r="G973" s="411"/>
      <c r="H973" s="412"/>
      <c r="I973" s="412"/>
    </row>
    <row r="974" spans="2:9" ht="24">
      <c r="B974" s="367"/>
      <c r="C974" s="71"/>
      <c r="D974" s="72"/>
      <c r="E974" s="73" t="s">
        <v>241</v>
      </c>
      <c r="F974" s="30"/>
      <c r="G974" s="230"/>
      <c r="H974" s="32"/>
      <c r="I974" s="32"/>
    </row>
    <row r="975" spans="2:9" ht="13.2">
      <c r="B975" s="367" t="s">
        <v>276</v>
      </c>
      <c r="C975" s="60" t="s">
        <v>182</v>
      </c>
      <c r="D975" s="60"/>
      <c r="E975" s="90" t="s">
        <v>49</v>
      </c>
      <c r="F975" s="62" t="s">
        <v>13</v>
      </c>
      <c r="G975" s="63" t="s">
        <v>13</v>
      </c>
      <c r="H975" s="224" t="s">
        <v>13</v>
      </c>
      <c r="I975" s="224" t="s">
        <v>13</v>
      </c>
    </row>
    <row r="976" spans="2:9" ht="34.200000000000003">
      <c r="B976" s="368" t="s">
        <v>277</v>
      </c>
      <c r="C976" s="83"/>
      <c r="D976" s="83"/>
      <c r="E976" s="110" t="s">
        <v>207</v>
      </c>
      <c r="F976" s="62" t="s">
        <v>15</v>
      </c>
      <c r="G976" s="225">
        <v>755</v>
      </c>
      <c r="H976" s="69">
        <f t="shared" si="102"/>
        <v>0</v>
      </c>
      <c r="I976" s="70">
        <f>ROUND($G976*H976,2)</f>
        <v>0</v>
      </c>
    </row>
    <row r="977" spans="2:9" ht="13.2">
      <c r="B977" s="367" t="s">
        <v>279</v>
      </c>
      <c r="C977" s="74" t="s">
        <v>168</v>
      </c>
      <c r="D977" s="74"/>
      <c r="E977" s="90" t="s">
        <v>155</v>
      </c>
      <c r="F977" s="81" t="s">
        <v>13</v>
      </c>
      <c r="G977" s="228" t="s">
        <v>13</v>
      </c>
      <c r="H977" s="228" t="s">
        <v>13</v>
      </c>
      <c r="I977" s="224" t="s">
        <v>13</v>
      </c>
    </row>
    <row r="978" spans="2:9" ht="22.8">
      <c r="B978" s="368" t="s">
        <v>280</v>
      </c>
      <c r="C978" s="103"/>
      <c r="D978" s="103"/>
      <c r="E978" s="110" t="s">
        <v>502</v>
      </c>
      <c r="F978" s="62" t="s">
        <v>15</v>
      </c>
      <c r="G978" s="225">
        <v>88</v>
      </c>
      <c r="H978" s="69">
        <f t="shared" si="102"/>
        <v>0</v>
      </c>
      <c r="I978" s="70">
        <f>ROUND($G978*H978,2)</f>
        <v>0</v>
      </c>
    </row>
    <row r="979" spans="2:9" ht="13.2">
      <c r="B979" s="367" t="s">
        <v>282</v>
      </c>
      <c r="C979" s="74" t="s">
        <v>183</v>
      </c>
      <c r="D979" s="74"/>
      <c r="E979" s="90" t="s">
        <v>54</v>
      </c>
      <c r="F979" s="81" t="s">
        <v>13</v>
      </c>
      <c r="G979" s="228" t="s">
        <v>13</v>
      </c>
      <c r="H979" s="228" t="s">
        <v>13</v>
      </c>
      <c r="I979" s="224" t="s">
        <v>13</v>
      </c>
    </row>
    <row r="980" spans="2:9" ht="22.8">
      <c r="B980" s="368" t="s">
        <v>283</v>
      </c>
      <c r="C980" s="98"/>
      <c r="D980" s="98"/>
      <c r="E980" s="92" t="s">
        <v>156</v>
      </c>
      <c r="F980" s="62" t="s">
        <v>15</v>
      </c>
      <c r="G980" s="225">
        <v>40</v>
      </c>
      <c r="H980" s="69">
        <f t="shared" si="102"/>
        <v>0</v>
      </c>
      <c r="I980" s="70">
        <f>ROUND($G980*H980,2)</f>
        <v>0</v>
      </c>
    </row>
    <row r="981" spans="2:9" ht="13.2">
      <c r="B981" s="369"/>
      <c r="C981" s="12"/>
      <c r="D981" s="25"/>
      <c r="E981" s="87" t="s">
        <v>58</v>
      </c>
      <c r="F981" s="13" t="s">
        <v>153</v>
      </c>
      <c r="G981" s="96"/>
      <c r="H981" s="227" t="s">
        <v>13</v>
      </c>
      <c r="I981" s="227" t="s">
        <v>13</v>
      </c>
    </row>
    <row r="982" spans="2:9" ht="13.2">
      <c r="B982" s="367" t="s">
        <v>288</v>
      </c>
      <c r="C982" s="385" t="s">
        <v>186</v>
      </c>
      <c r="D982" s="386"/>
      <c r="E982" s="387" t="s">
        <v>81</v>
      </c>
      <c r="F982" s="388"/>
      <c r="G982" s="411"/>
      <c r="H982" s="412"/>
      <c r="I982" s="412"/>
    </row>
    <row r="983" spans="2:9" ht="24">
      <c r="B983" s="367"/>
      <c r="C983" s="71"/>
      <c r="D983" s="72"/>
      <c r="E983" s="73" t="s">
        <v>241</v>
      </c>
      <c r="F983" s="30"/>
      <c r="G983" s="231"/>
      <c r="H983" s="232"/>
      <c r="I983" s="232"/>
    </row>
    <row r="984" spans="2:9" ht="13.2">
      <c r="B984" s="367" t="s">
        <v>289</v>
      </c>
      <c r="C984" s="74" t="s">
        <v>381</v>
      </c>
      <c r="D984" s="91"/>
      <c r="E984" s="172" t="s">
        <v>382</v>
      </c>
      <c r="F984" s="62" t="s">
        <v>13</v>
      </c>
      <c r="G984" s="233" t="s">
        <v>13</v>
      </c>
      <c r="H984" s="224" t="s">
        <v>13</v>
      </c>
      <c r="I984" s="224" t="s">
        <v>13</v>
      </c>
    </row>
    <row r="985" spans="2:9" ht="22.8">
      <c r="B985" s="368" t="s">
        <v>290</v>
      </c>
      <c r="C985" s="173"/>
      <c r="D985" s="173"/>
      <c r="E985" s="67" t="s">
        <v>550</v>
      </c>
      <c r="F985" s="62" t="s">
        <v>3</v>
      </c>
      <c r="G985" s="225">
        <v>4</v>
      </c>
      <c r="H985" s="69">
        <f t="shared" si="102"/>
        <v>0</v>
      </c>
      <c r="I985" s="70">
        <f>ROUND($G985*H985,2)</f>
        <v>0</v>
      </c>
    </row>
    <row r="986" spans="2:9" ht="13.2">
      <c r="B986" s="367" t="s">
        <v>384</v>
      </c>
      <c r="C986" s="74" t="s">
        <v>187</v>
      </c>
      <c r="D986" s="74"/>
      <c r="E986" s="61" t="s">
        <v>360</v>
      </c>
      <c r="F986" s="62" t="s">
        <v>13</v>
      </c>
      <c r="G986" s="233" t="s">
        <v>13</v>
      </c>
      <c r="H986" s="233" t="s">
        <v>13</v>
      </c>
      <c r="I986" s="224" t="s">
        <v>13</v>
      </c>
    </row>
    <row r="987" spans="2:9" ht="22.8">
      <c r="B987" s="368" t="s">
        <v>385</v>
      </c>
      <c r="C987" s="115"/>
      <c r="D987" s="115"/>
      <c r="E987" s="67" t="s">
        <v>386</v>
      </c>
      <c r="F987" s="62" t="s">
        <v>4</v>
      </c>
      <c r="G987" s="225">
        <v>35</v>
      </c>
      <c r="H987" s="69">
        <f t="shared" si="102"/>
        <v>0</v>
      </c>
      <c r="I987" s="70">
        <f t="shared" ref="I987:I989" si="104">ROUND($G987*H987,2)</f>
        <v>0</v>
      </c>
    </row>
    <row r="988" spans="2:9" ht="13.2">
      <c r="B988" s="368" t="s">
        <v>387</v>
      </c>
      <c r="C988" s="115"/>
      <c r="D988" s="115"/>
      <c r="E988" s="145" t="s">
        <v>520</v>
      </c>
      <c r="F988" s="62" t="s">
        <v>4</v>
      </c>
      <c r="G988" s="225">
        <v>20</v>
      </c>
      <c r="H988" s="69">
        <f t="shared" si="102"/>
        <v>0</v>
      </c>
      <c r="I988" s="70">
        <f t="shared" si="104"/>
        <v>0</v>
      </c>
    </row>
    <row r="989" spans="2:9" ht="22.8">
      <c r="B989" s="368" t="s">
        <v>389</v>
      </c>
      <c r="C989" s="115"/>
      <c r="D989" s="115"/>
      <c r="E989" s="116" t="s">
        <v>157</v>
      </c>
      <c r="F989" s="62" t="s">
        <v>3</v>
      </c>
      <c r="G989" s="225">
        <v>2</v>
      </c>
      <c r="H989" s="69">
        <f t="shared" si="102"/>
        <v>0</v>
      </c>
      <c r="I989" s="70">
        <f t="shared" si="104"/>
        <v>0</v>
      </c>
    </row>
    <row r="990" spans="2:9" ht="13.2">
      <c r="B990" s="369"/>
      <c r="C990" s="73"/>
      <c r="D990" s="118"/>
      <c r="E990" s="112" t="s">
        <v>85</v>
      </c>
      <c r="F990" s="13" t="s">
        <v>153</v>
      </c>
      <c r="G990" s="119"/>
      <c r="H990" s="227" t="s">
        <v>13</v>
      </c>
      <c r="I990" s="227" t="s">
        <v>13</v>
      </c>
    </row>
    <row r="991" spans="2:9" ht="13.2">
      <c r="B991" s="367" t="s">
        <v>390</v>
      </c>
      <c r="C991" s="385" t="s">
        <v>391</v>
      </c>
      <c r="D991" s="386"/>
      <c r="E991" s="387" t="s">
        <v>392</v>
      </c>
      <c r="F991" s="388"/>
      <c r="G991" s="414"/>
      <c r="H991" s="412"/>
      <c r="I991" s="412"/>
    </row>
    <row r="992" spans="2:9" ht="24">
      <c r="B992" s="367"/>
      <c r="C992" s="71"/>
      <c r="D992" s="72"/>
      <c r="E992" s="73" t="s">
        <v>241</v>
      </c>
      <c r="F992" s="30"/>
      <c r="G992" s="230"/>
      <c r="H992" s="32"/>
      <c r="I992" s="32"/>
    </row>
    <row r="993" spans="2:9" ht="13.2">
      <c r="B993" s="367" t="s">
        <v>455</v>
      </c>
      <c r="C993" s="74" t="s">
        <v>456</v>
      </c>
      <c r="D993" s="75"/>
      <c r="E993" s="122" t="s">
        <v>457</v>
      </c>
      <c r="F993" s="62" t="s">
        <v>13</v>
      </c>
      <c r="G993" s="63" t="s">
        <v>13</v>
      </c>
      <c r="H993" s="224" t="s">
        <v>13</v>
      </c>
      <c r="I993" s="224" t="s">
        <v>13</v>
      </c>
    </row>
    <row r="994" spans="2:9" ht="13.2">
      <c r="B994" s="369"/>
      <c r="C994" s="98"/>
      <c r="D994" s="99"/>
      <c r="E994" s="122" t="s">
        <v>458</v>
      </c>
      <c r="F994" s="62" t="s">
        <v>13</v>
      </c>
      <c r="G994" s="63" t="s">
        <v>13</v>
      </c>
      <c r="H994" s="224" t="s">
        <v>13</v>
      </c>
      <c r="I994" s="224" t="s">
        <v>13</v>
      </c>
    </row>
    <row r="995" spans="2:9" ht="13.2">
      <c r="B995" s="368" t="s">
        <v>459</v>
      </c>
      <c r="C995" s="103"/>
      <c r="D995" s="104"/>
      <c r="E995" s="80" t="s">
        <v>551</v>
      </c>
      <c r="F995" s="62" t="s">
        <v>3</v>
      </c>
      <c r="G995" s="225">
        <v>1</v>
      </c>
      <c r="H995" s="69">
        <f t="shared" si="102"/>
        <v>0</v>
      </c>
      <c r="I995" s="70">
        <f t="shared" ref="I995:I997" si="105">ROUND($G995*H995,2)</f>
        <v>0</v>
      </c>
    </row>
    <row r="996" spans="2:9" ht="13.2">
      <c r="B996" s="368" t="s">
        <v>461</v>
      </c>
      <c r="C996" s="103"/>
      <c r="D996" s="104"/>
      <c r="E996" s="80" t="s">
        <v>552</v>
      </c>
      <c r="F996" s="62" t="s">
        <v>3</v>
      </c>
      <c r="G996" s="225">
        <v>2</v>
      </c>
      <c r="H996" s="69">
        <f t="shared" si="102"/>
        <v>0</v>
      </c>
      <c r="I996" s="70">
        <f t="shared" si="105"/>
        <v>0</v>
      </c>
    </row>
    <row r="997" spans="2:9" ht="13.2">
      <c r="B997" s="368" t="s">
        <v>463</v>
      </c>
      <c r="C997" s="103"/>
      <c r="D997" s="104"/>
      <c r="E997" s="80" t="s">
        <v>553</v>
      </c>
      <c r="F997" s="62" t="s">
        <v>3</v>
      </c>
      <c r="G997" s="225">
        <v>1</v>
      </c>
      <c r="H997" s="69">
        <f t="shared" si="102"/>
        <v>0</v>
      </c>
      <c r="I997" s="70">
        <f t="shared" si="105"/>
        <v>0</v>
      </c>
    </row>
    <row r="998" spans="2:9" ht="13.2">
      <c r="B998" s="369"/>
      <c r="C998" s="12"/>
      <c r="D998" s="25"/>
      <c r="E998" s="87" t="s">
        <v>404</v>
      </c>
      <c r="F998" s="13" t="s">
        <v>153</v>
      </c>
      <c r="G998" s="119"/>
      <c r="H998" s="227" t="s">
        <v>13</v>
      </c>
      <c r="I998" s="227" t="s">
        <v>13</v>
      </c>
    </row>
    <row r="999" spans="2:9" ht="13.2">
      <c r="B999" s="367" t="s">
        <v>292</v>
      </c>
      <c r="C999" s="375" t="s">
        <v>188</v>
      </c>
      <c r="D999" s="374"/>
      <c r="E999" s="376" t="s">
        <v>59</v>
      </c>
      <c r="F999" s="377"/>
      <c r="G999" s="411"/>
      <c r="H999" s="412"/>
      <c r="I999" s="412"/>
    </row>
    <row r="1000" spans="2:9" ht="24">
      <c r="B1000" s="367"/>
      <c r="C1000" s="71"/>
      <c r="D1000" s="72"/>
      <c r="E1000" s="73" t="s">
        <v>241</v>
      </c>
      <c r="F1000" s="30"/>
      <c r="G1000" s="230"/>
      <c r="H1000" s="32"/>
      <c r="I1000" s="32"/>
    </row>
    <row r="1001" spans="2:9" ht="13.2">
      <c r="B1001" s="367" t="s">
        <v>293</v>
      </c>
      <c r="C1001" s="120" t="s">
        <v>405</v>
      </c>
      <c r="D1001" s="121"/>
      <c r="E1001" s="122" t="s">
        <v>406</v>
      </c>
      <c r="F1001" s="62" t="s">
        <v>13</v>
      </c>
      <c r="G1001" s="63" t="s">
        <v>13</v>
      </c>
      <c r="H1001" s="224" t="s">
        <v>13</v>
      </c>
      <c r="I1001" s="224" t="s">
        <v>13</v>
      </c>
    </row>
    <row r="1002" spans="2:9" ht="57">
      <c r="B1002" s="368" t="s">
        <v>294</v>
      </c>
      <c r="C1002" s="123"/>
      <c r="D1002" s="124"/>
      <c r="E1002" s="80" t="s">
        <v>407</v>
      </c>
      <c r="F1002" s="81" t="s">
        <v>4</v>
      </c>
      <c r="G1002" s="225">
        <v>21.5</v>
      </c>
      <c r="H1002" s="69">
        <f t="shared" si="102"/>
        <v>0</v>
      </c>
      <c r="I1002" s="70">
        <f>ROUND($G1002*H1002,2)</f>
        <v>0</v>
      </c>
    </row>
    <row r="1003" spans="2:9" ht="13.2">
      <c r="B1003" s="369"/>
      <c r="C1003" s="129"/>
      <c r="D1003" s="130"/>
      <c r="E1003" s="87" t="s">
        <v>61</v>
      </c>
      <c r="F1003" s="13" t="s">
        <v>153</v>
      </c>
      <c r="G1003" s="119"/>
      <c r="H1003" s="227" t="s">
        <v>13</v>
      </c>
      <c r="I1003" s="227" t="s">
        <v>13</v>
      </c>
    </row>
    <row r="1004" spans="2:9" ht="13.2">
      <c r="B1004" s="367" t="s">
        <v>297</v>
      </c>
      <c r="C1004" s="375" t="s">
        <v>190</v>
      </c>
      <c r="D1004" s="374"/>
      <c r="E1004" s="376" t="s">
        <v>62</v>
      </c>
      <c r="F1004" s="377"/>
      <c r="G1004" s="411"/>
      <c r="H1004" s="412"/>
      <c r="I1004" s="412"/>
    </row>
    <row r="1005" spans="2:9" ht="24">
      <c r="B1005" s="367"/>
      <c r="C1005" s="71"/>
      <c r="D1005" s="72"/>
      <c r="E1005" s="73" t="s">
        <v>241</v>
      </c>
      <c r="F1005" s="30"/>
      <c r="G1005" s="222"/>
      <c r="H1005" s="32"/>
      <c r="I1005" s="32"/>
    </row>
    <row r="1006" spans="2:9" ht="13.2">
      <c r="B1006" s="367" t="s">
        <v>298</v>
      </c>
      <c r="C1006" s="60" t="s">
        <v>191</v>
      </c>
      <c r="D1006" s="60"/>
      <c r="E1006" s="90" t="s">
        <v>244</v>
      </c>
      <c r="F1006" s="62" t="s">
        <v>13</v>
      </c>
      <c r="G1006" s="63" t="s">
        <v>13</v>
      </c>
      <c r="H1006" s="224" t="s">
        <v>13</v>
      </c>
      <c r="I1006" s="224" t="s">
        <v>13</v>
      </c>
    </row>
    <row r="1007" spans="2:9" ht="22.8">
      <c r="B1007" s="368" t="s">
        <v>299</v>
      </c>
      <c r="C1007" s="66"/>
      <c r="D1007" s="66"/>
      <c r="E1007" s="133" t="s">
        <v>245</v>
      </c>
      <c r="F1007" s="132" t="s">
        <v>23</v>
      </c>
      <c r="G1007" s="225">
        <v>1750</v>
      </c>
      <c r="H1007" s="69">
        <f t="shared" si="102"/>
        <v>0</v>
      </c>
      <c r="I1007" s="70">
        <f t="shared" ref="I1007:I1008" si="106">ROUND($G1007*H1007,2)</f>
        <v>0</v>
      </c>
    </row>
    <row r="1008" spans="2:9" ht="22.8">
      <c r="B1008" s="368" t="s">
        <v>300</v>
      </c>
      <c r="C1008" s="66"/>
      <c r="D1008" s="66"/>
      <c r="E1008" s="216" t="s">
        <v>528</v>
      </c>
      <c r="F1008" s="132" t="s">
        <v>23</v>
      </c>
      <c r="G1008" s="225">
        <v>4850</v>
      </c>
      <c r="H1008" s="69">
        <f t="shared" si="102"/>
        <v>0</v>
      </c>
      <c r="I1008" s="70">
        <f t="shared" si="106"/>
        <v>0</v>
      </c>
    </row>
    <row r="1009" spans="2:9" ht="13.2">
      <c r="B1009" s="369"/>
      <c r="C1009" s="12"/>
      <c r="D1009" s="25"/>
      <c r="E1009" s="87" t="s">
        <v>63</v>
      </c>
      <c r="F1009" s="13"/>
      <c r="G1009" s="134"/>
      <c r="H1009" s="227" t="s">
        <v>13</v>
      </c>
      <c r="I1009" s="227" t="s">
        <v>13</v>
      </c>
    </row>
    <row r="1010" spans="2:9" ht="13.2">
      <c r="B1010" s="367" t="s">
        <v>301</v>
      </c>
      <c r="C1010" s="375" t="s">
        <v>192</v>
      </c>
      <c r="D1010" s="374"/>
      <c r="E1010" s="376" t="s">
        <v>64</v>
      </c>
      <c r="F1010" s="377"/>
      <c r="G1010" s="411"/>
      <c r="H1010" s="412"/>
      <c r="I1010" s="412"/>
    </row>
    <row r="1011" spans="2:9" ht="24">
      <c r="B1011" s="367"/>
      <c r="C1011" s="71"/>
      <c r="D1011" s="72"/>
      <c r="E1011" s="73" t="s">
        <v>241</v>
      </c>
      <c r="F1011" s="30"/>
      <c r="G1011" s="222"/>
      <c r="H1011" s="32"/>
      <c r="I1011" s="32"/>
    </row>
    <row r="1012" spans="2:9" ht="13.2">
      <c r="B1012" s="367" t="s">
        <v>302</v>
      </c>
      <c r="C1012" s="60" t="s">
        <v>193</v>
      </c>
      <c r="D1012" s="60"/>
      <c r="E1012" s="135" t="s">
        <v>66</v>
      </c>
      <c r="F1012" s="136" t="s">
        <v>13</v>
      </c>
      <c r="G1012" s="140"/>
      <c r="H1012" s="224" t="s">
        <v>13</v>
      </c>
      <c r="I1012" s="224" t="s">
        <v>13</v>
      </c>
    </row>
    <row r="1013" spans="2:9" ht="22.8">
      <c r="B1013" s="368" t="s">
        <v>303</v>
      </c>
      <c r="C1013" s="83"/>
      <c r="D1013" s="83"/>
      <c r="E1013" s="116" t="s">
        <v>158</v>
      </c>
      <c r="F1013" s="137" t="s">
        <v>16</v>
      </c>
      <c r="G1013" s="225">
        <v>60</v>
      </c>
      <c r="H1013" s="69">
        <f t="shared" si="102"/>
        <v>0</v>
      </c>
      <c r="I1013" s="70">
        <f>ROUND($G1013*H1013,2)</f>
        <v>0</v>
      </c>
    </row>
    <row r="1014" spans="2:9" ht="13.2">
      <c r="B1014" s="367" t="s">
        <v>304</v>
      </c>
      <c r="C1014" s="74" t="s">
        <v>194</v>
      </c>
      <c r="D1014" s="74"/>
      <c r="E1014" s="135" t="s">
        <v>68</v>
      </c>
      <c r="F1014" s="136" t="s">
        <v>13</v>
      </c>
      <c r="G1014" s="140" t="s">
        <v>13</v>
      </c>
      <c r="H1014" s="140" t="s">
        <v>13</v>
      </c>
      <c r="I1014" s="224" t="s">
        <v>13</v>
      </c>
    </row>
    <row r="1015" spans="2:9" ht="34.799999999999997">
      <c r="B1015" s="368" t="s">
        <v>305</v>
      </c>
      <c r="C1015" s="98"/>
      <c r="D1015" s="98"/>
      <c r="E1015" s="116" t="s">
        <v>554</v>
      </c>
      <c r="F1015" s="136" t="s">
        <v>4</v>
      </c>
      <c r="G1015" s="225">
        <v>25</v>
      </c>
      <c r="H1015" s="69">
        <f t="shared" si="102"/>
        <v>0</v>
      </c>
      <c r="I1015" s="70">
        <f>ROUND($G1015*H1015,2)</f>
        <v>0</v>
      </c>
    </row>
    <row r="1016" spans="2:9" ht="13.2">
      <c r="B1016" s="367" t="s">
        <v>307</v>
      </c>
      <c r="C1016" s="74" t="s">
        <v>169</v>
      </c>
      <c r="D1016" s="75"/>
      <c r="E1016" s="122" t="s">
        <v>69</v>
      </c>
      <c r="F1016" s="62" t="s">
        <v>13</v>
      </c>
      <c r="G1016" s="63" t="s">
        <v>13</v>
      </c>
      <c r="H1016" s="63" t="s">
        <v>13</v>
      </c>
      <c r="I1016" s="224" t="s">
        <v>13</v>
      </c>
    </row>
    <row r="1017" spans="2:9" ht="15.6">
      <c r="B1017" s="368" t="s">
        <v>555</v>
      </c>
      <c r="C1017" s="101"/>
      <c r="D1017" s="102"/>
      <c r="E1017" s="80" t="s">
        <v>556</v>
      </c>
      <c r="F1017" s="81" t="s">
        <v>76</v>
      </c>
      <c r="G1017" s="225">
        <v>50</v>
      </c>
      <c r="H1017" s="69">
        <f t="shared" ref="H1017:H1033" si="107">L1017*$K$5</f>
        <v>0</v>
      </c>
      <c r="I1017" s="70">
        <f>ROUND($G1017*H1017,2)</f>
        <v>0</v>
      </c>
    </row>
    <row r="1018" spans="2:9" ht="13.2">
      <c r="B1018" s="367" t="s">
        <v>557</v>
      </c>
      <c r="C1018" s="60" t="s">
        <v>195</v>
      </c>
      <c r="D1018" s="60"/>
      <c r="E1018" s="90" t="s">
        <v>71</v>
      </c>
      <c r="F1018" s="140" t="s">
        <v>13</v>
      </c>
      <c r="G1018" s="234" t="s">
        <v>13</v>
      </c>
      <c r="H1018" s="234" t="s">
        <v>13</v>
      </c>
      <c r="I1018" s="224" t="s">
        <v>13</v>
      </c>
    </row>
    <row r="1019" spans="2:9" ht="57">
      <c r="B1019" s="368" t="s">
        <v>558</v>
      </c>
      <c r="C1019" s="66"/>
      <c r="D1019" s="66"/>
      <c r="E1019" s="67" t="s">
        <v>127</v>
      </c>
      <c r="F1019" s="81" t="s">
        <v>16</v>
      </c>
      <c r="G1019" s="68">
        <v>470</v>
      </c>
      <c r="H1019" s="69">
        <f t="shared" si="107"/>
        <v>0</v>
      </c>
      <c r="I1019" s="70">
        <f t="shared" ref="I1019:I1020" si="108">ROUND($G1019*H1019,2)</f>
        <v>0</v>
      </c>
    </row>
    <row r="1020" spans="2:9" ht="45.6">
      <c r="B1020" s="368" t="s">
        <v>559</v>
      </c>
      <c r="C1020" s="83"/>
      <c r="D1020" s="83"/>
      <c r="E1020" s="67" t="s">
        <v>125</v>
      </c>
      <c r="F1020" s="81" t="s">
        <v>16</v>
      </c>
      <c r="G1020" s="68">
        <v>50</v>
      </c>
      <c r="H1020" s="69">
        <f t="shared" si="107"/>
        <v>0</v>
      </c>
      <c r="I1020" s="70">
        <f t="shared" si="108"/>
        <v>0</v>
      </c>
    </row>
    <row r="1021" spans="2:9" ht="22.8">
      <c r="B1021" s="367" t="s">
        <v>311</v>
      </c>
      <c r="C1021" s="217" t="s">
        <v>530</v>
      </c>
      <c r="D1021" s="217"/>
      <c r="E1021" s="110" t="s">
        <v>531</v>
      </c>
      <c r="F1021" s="62" t="s">
        <v>13</v>
      </c>
      <c r="G1021" s="63" t="s">
        <v>13</v>
      </c>
      <c r="H1021" s="63" t="s">
        <v>13</v>
      </c>
      <c r="I1021" s="175" t="s">
        <v>13</v>
      </c>
    </row>
    <row r="1022" spans="2:9" ht="22.8">
      <c r="B1022" s="368" t="s">
        <v>312</v>
      </c>
      <c r="C1022" s="218"/>
      <c r="D1022" s="218"/>
      <c r="E1022" s="131" t="s">
        <v>532</v>
      </c>
      <c r="F1022" s="81" t="s">
        <v>16</v>
      </c>
      <c r="G1022" s="225">
        <v>215</v>
      </c>
      <c r="H1022" s="69">
        <f t="shared" si="107"/>
        <v>0</v>
      </c>
      <c r="I1022" s="70">
        <f t="shared" ref="I1022:I1023" si="109">ROUND($G1022*H1022,2)</f>
        <v>0</v>
      </c>
    </row>
    <row r="1023" spans="2:9" ht="13.2">
      <c r="B1023" s="368" t="s">
        <v>313</v>
      </c>
      <c r="C1023" s="83"/>
      <c r="D1023" s="83"/>
      <c r="E1023" s="131" t="s">
        <v>533</v>
      </c>
      <c r="F1023" s="81" t="s">
        <v>16</v>
      </c>
      <c r="G1023" s="225">
        <v>35</v>
      </c>
      <c r="H1023" s="69">
        <f t="shared" si="107"/>
        <v>0</v>
      </c>
      <c r="I1023" s="70">
        <f t="shared" si="109"/>
        <v>0</v>
      </c>
    </row>
    <row r="1024" spans="2:9" ht="22.8">
      <c r="B1024" s="367" t="s">
        <v>314</v>
      </c>
      <c r="C1024" s="74" t="s">
        <v>197</v>
      </c>
      <c r="D1024" s="74"/>
      <c r="E1024" s="148" t="s">
        <v>73</v>
      </c>
      <c r="F1024" s="81" t="s">
        <v>13</v>
      </c>
      <c r="G1024" s="228" t="s">
        <v>13</v>
      </c>
      <c r="H1024" s="228" t="s">
        <v>13</v>
      </c>
      <c r="I1024" s="224" t="s">
        <v>13</v>
      </c>
    </row>
    <row r="1025" spans="2:9" ht="13.2">
      <c r="B1025" s="368" t="s">
        <v>315</v>
      </c>
      <c r="C1025" s="98"/>
      <c r="D1025" s="98"/>
      <c r="E1025" s="149" t="s">
        <v>74</v>
      </c>
      <c r="F1025" s="136" t="s">
        <v>3</v>
      </c>
      <c r="G1025" s="225">
        <v>2</v>
      </c>
      <c r="H1025" s="69">
        <f t="shared" si="107"/>
        <v>0</v>
      </c>
      <c r="I1025" s="70">
        <f>ROUND($G1025*H1025,2)</f>
        <v>0</v>
      </c>
    </row>
    <row r="1026" spans="2:9" ht="22.8">
      <c r="B1026" s="368" t="s">
        <v>560</v>
      </c>
      <c r="C1026" s="101"/>
      <c r="D1026" s="101"/>
      <c r="E1026" s="150" t="s">
        <v>128</v>
      </c>
      <c r="F1026" s="151" t="s">
        <v>3</v>
      </c>
      <c r="G1026" s="225">
        <v>14</v>
      </c>
      <c r="H1026" s="69">
        <f t="shared" si="107"/>
        <v>0</v>
      </c>
      <c r="I1026" s="70">
        <f>ROUND($G1026*H1026,2)</f>
        <v>0</v>
      </c>
    </row>
    <row r="1027" spans="2:9" ht="13.2">
      <c r="B1027" s="367" t="s">
        <v>316</v>
      </c>
      <c r="C1027" s="60" t="s">
        <v>198</v>
      </c>
      <c r="D1027" s="60"/>
      <c r="E1027" s="152" t="s">
        <v>75</v>
      </c>
      <c r="F1027" s="153" t="s">
        <v>13</v>
      </c>
      <c r="G1027" s="235" t="s">
        <v>13</v>
      </c>
      <c r="H1027" s="235" t="s">
        <v>13</v>
      </c>
      <c r="I1027" s="224" t="s">
        <v>13</v>
      </c>
    </row>
    <row r="1028" spans="2:9" ht="13.2">
      <c r="B1028" s="368" t="s">
        <v>317</v>
      </c>
      <c r="C1028" s="83"/>
      <c r="D1028" s="66"/>
      <c r="E1028" s="141" t="s">
        <v>164</v>
      </c>
      <c r="F1028" s="137" t="s">
        <v>16</v>
      </c>
      <c r="G1028" s="68">
        <v>140</v>
      </c>
      <c r="H1028" s="69">
        <f t="shared" si="107"/>
        <v>0</v>
      </c>
      <c r="I1028" s="70">
        <f>ROUND($G1028*H1028,2)</f>
        <v>0</v>
      </c>
    </row>
    <row r="1029" spans="2:9" ht="13.2">
      <c r="B1029" s="367" t="s">
        <v>323</v>
      </c>
      <c r="C1029" s="191" t="s">
        <v>428</v>
      </c>
      <c r="D1029" s="191"/>
      <c r="E1029" s="177" t="s">
        <v>429</v>
      </c>
      <c r="F1029" s="153" t="s">
        <v>13</v>
      </c>
      <c r="G1029" s="235" t="s">
        <v>13</v>
      </c>
      <c r="H1029" s="235" t="s">
        <v>13</v>
      </c>
      <c r="I1029" s="224" t="s">
        <v>13</v>
      </c>
    </row>
    <row r="1030" spans="2:9" ht="13.2">
      <c r="B1030" s="368" t="s">
        <v>324</v>
      </c>
      <c r="C1030" s="219"/>
      <c r="D1030" s="219"/>
      <c r="E1030" s="178" t="s">
        <v>430</v>
      </c>
      <c r="F1030" s="146" t="s">
        <v>4</v>
      </c>
      <c r="G1030" s="68">
        <v>20</v>
      </c>
      <c r="H1030" s="69">
        <f t="shared" si="107"/>
        <v>0</v>
      </c>
      <c r="I1030" s="70">
        <f t="shared" ref="I1030:I1031" si="110">ROUND($G1030*H1030,2)</f>
        <v>0</v>
      </c>
    </row>
    <row r="1031" spans="2:9" ht="13.2">
      <c r="B1031" s="368" t="s">
        <v>534</v>
      </c>
      <c r="C1031" s="236"/>
      <c r="D1031" s="236"/>
      <c r="E1031" s="237" t="s">
        <v>561</v>
      </c>
      <c r="F1031" s="146" t="s">
        <v>3</v>
      </c>
      <c r="G1031" s="68">
        <v>2</v>
      </c>
      <c r="H1031" s="69">
        <f t="shared" si="107"/>
        <v>0</v>
      </c>
      <c r="I1031" s="70">
        <f t="shared" si="110"/>
        <v>0</v>
      </c>
    </row>
    <row r="1032" spans="2:9" ht="13.2">
      <c r="B1032" s="370" t="s">
        <v>497</v>
      </c>
      <c r="C1032" s="66" t="s">
        <v>562</v>
      </c>
      <c r="D1032" s="157"/>
      <c r="E1032" s="238" t="s">
        <v>563</v>
      </c>
      <c r="F1032" s="239" t="s">
        <v>13</v>
      </c>
      <c r="G1032" s="240" t="s">
        <v>13</v>
      </c>
      <c r="H1032" s="240" t="s">
        <v>13</v>
      </c>
      <c r="I1032" s="224" t="s">
        <v>13</v>
      </c>
    </row>
    <row r="1033" spans="2:9" ht="13.2">
      <c r="B1033" s="370" t="s">
        <v>328</v>
      </c>
      <c r="C1033" s="83"/>
      <c r="D1033" s="159"/>
      <c r="E1033" s="178" t="s">
        <v>564</v>
      </c>
      <c r="F1033" s="239" t="s">
        <v>4</v>
      </c>
      <c r="G1033" s="225">
        <v>21.5</v>
      </c>
      <c r="H1033" s="69">
        <f t="shared" si="107"/>
        <v>0</v>
      </c>
      <c r="I1033" s="70">
        <f>ROUND($G1033*H1033,2)</f>
        <v>0</v>
      </c>
    </row>
    <row r="1034" spans="2:9" ht="13.2">
      <c r="B1034" s="369"/>
      <c r="C1034" s="12"/>
      <c r="D1034" s="25"/>
      <c r="E1034" s="14" t="s">
        <v>77</v>
      </c>
      <c r="F1034" s="13"/>
      <c r="G1034" s="96"/>
      <c r="H1034" s="241" t="s">
        <v>13</v>
      </c>
      <c r="I1034" s="227" t="s">
        <v>13</v>
      </c>
    </row>
    <row r="1035" spans="2:9" ht="13.8">
      <c r="B1035" s="367"/>
      <c r="C1035" s="571" t="s">
        <v>332</v>
      </c>
      <c r="D1035" s="572"/>
      <c r="E1035" s="573"/>
      <c r="F1035" s="7"/>
      <c r="G1035" s="161"/>
      <c r="H1035" s="42" t="s">
        <v>13</v>
      </c>
      <c r="I1035" s="242">
        <f>SUM(I949:I1033)</f>
        <v>0</v>
      </c>
    </row>
    <row r="1036" spans="2:9" ht="26.4">
      <c r="B1036" s="410" t="s">
        <v>334</v>
      </c>
      <c r="C1036" s="558" t="s">
        <v>565</v>
      </c>
      <c r="D1036" s="559"/>
      <c r="E1036" s="560"/>
      <c r="F1036" s="560"/>
      <c r="G1036" s="560"/>
      <c r="H1036" s="560"/>
      <c r="I1036" s="561"/>
    </row>
    <row r="1037" spans="2:9" ht="24">
      <c r="B1037" s="371" t="s">
        <v>0</v>
      </c>
      <c r="C1037" s="404" t="s">
        <v>210</v>
      </c>
      <c r="D1037" s="404" t="s">
        <v>333</v>
      </c>
      <c r="E1037" s="405" t="s">
        <v>203</v>
      </c>
      <c r="F1037" s="310" t="s">
        <v>204</v>
      </c>
      <c r="G1037" s="405" t="s">
        <v>1</v>
      </c>
      <c r="H1037" s="41" t="s">
        <v>111</v>
      </c>
      <c r="I1037" s="406" t="s">
        <v>112</v>
      </c>
    </row>
    <row r="1038" spans="2:9" ht="13.2">
      <c r="B1038" s="369"/>
      <c r="C1038" s="128"/>
      <c r="D1038" s="196"/>
      <c r="E1038" s="87" t="s">
        <v>438</v>
      </c>
      <c r="F1038" s="13" t="s">
        <v>153</v>
      </c>
      <c r="G1038" s="226"/>
      <c r="H1038" s="243"/>
      <c r="I1038" s="182" t="s">
        <v>13</v>
      </c>
    </row>
    <row r="1039" spans="2:9" ht="13.2">
      <c r="B1039" s="367" t="s">
        <v>439</v>
      </c>
      <c r="C1039" s="375" t="s">
        <v>440</v>
      </c>
      <c r="D1039" s="374"/>
      <c r="E1039" s="376" t="s">
        <v>441</v>
      </c>
      <c r="F1039" s="377"/>
      <c r="G1039" s="411"/>
      <c r="H1039" s="397"/>
      <c r="I1039" s="380"/>
    </row>
    <row r="1040" spans="2:9" ht="22.8">
      <c r="B1040" s="368" t="s">
        <v>249</v>
      </c>
      <c r="C1040" s="66"/>
      <c r="D1040" s="66"/>
      <c r="E1040" s="67" t="s">
        <v>160</v>
      </c>
      <c r="F1040" s="62" t="s">
        <v>17</v>
      </c>
      <c r="G1040" s="225">
        <v>52</v>
      </c>
      <c r="H1040" s="69">
        <f t="shared" ref="H1040" si="111">L1040*$K$5</f>
        <v>0</v>
      </c>
      <c r="I1040" s="244">
        <f>ROUND($G1040*H1040,2)</f>
        <v>0</v>
      </c>
    </row>
    <row r="1041" spans="2:9" ht="13.2">
      <c r="B1041" s="369"/>
      <c r="C1041" s="129"/>
      <c r="D1041" s="130"/>
      <c r="E1041" s="87" t="s">
        <v>447</v>
      </c>
      <c r="F1041" s="13" t="s">
        <v>153</v>
      </c>
      <c r="G1041" s="134"/>
      <c r="H1041" s="243"/>
      <c r="I1041" s="182" t="s">
        <v>13</v>
      </c>
    </row>
    <row r="1042" spans="2:9" ht="13.2">
      <c r="B1042" s="367" t="s">
        <v>250</v>
      </c>
      <c r="C1042" s="375" t="s">
        <v>172</v>
      </c>
      <c r="D1042" s="374"/>
      <c r="E1042" s="376" t="s">
        <v>20</v>
      </c>
      <c r="F1042" s="377"/>
      <c r="G1042" s="411"/>
      <c r="H1042" s="397"/>
      <c r="I1042" s="380"/>
    </row>
    <row r="1043" spans="2:9" ht="24">
      <c r="B1043" s="367"/>
      <c r="C1043" s="71"/>
      <c r="D1043" s="72"/>
      <c r="E1043" s="73" t="s">
        <v>241</v>
      </c>
      <c r="F1043" s="30"/>
      <c r="G1043" s="222"/>
      <c r="H1043" s="38"/>
      <c r="I1043" s="32"/>
    </row>
    <row r="1044" spans="2:9" ht="13.2">
      <c r="B1044" s="367" t="s">
        <v>251</v>
      </c>
      <c r="C1044" s="74" t="s">
        <v>173</v>
      </c>
      <c r="D1044" s="75"/>
      <c r="E1044" s="76" t="s">
        <v>115</v>
      </c>
      <c r="F1044" s="62" t="s">
        <v>13</v>
      </c>
      <c r="G1044" s="63" t="s">
        <v>13</v>
      </c>
      <c r="H1044" s="64"/>
      <c r="I1044" s="65" t="s">
        <v>13</v>
      </c>
    </row>
    <row r="1045" spans="2:9" ht="13.2">
      <c r="B1045" s="369"/>
      <c r="C1045" s="77"/>
      <c r="D1045" s="78"/>
      <c r="E1045" s="79" t="s">
        <v>117</v>
      </c>
      <c r="F1045" s="62" t="s">
        <v>13</v>
      </c>
      <c r="G1045" s="63" t="s">
        <v>13</v>
      </c>
      <c r="H1045" s="64"/>
      <c r="I1045" s="65" t="s">
        <v>13</v>
      </c>
    </row>
    <row r="1046" spans="2:9" ht="13.2">
      <c r="B1046" s="368" t="s">
        <v>252</v>
      </c>
      <c r="C1046" s="66"/>
      <c r="D1046" s="82"/>
      <c r="E1046" s="80" t="s">
        <v>566</v>
      </c>
      <c r="F1046" s="81" t="s">
        <v>23</v>
      </c>
      <c r="G1046" s="225">
        <v>66490</v>
      </c>
      <c r="H1046" s="69">
        <f t="shared" ref="H1046:H1109" si="112">L1046*$K$5</f>
        <v>0</v>
      </c>
      <c r="I1046" s="244">
        <f>ROUND($G1046*H1046,2)</f>
        <v>0</v>
      </c>
    </row>
    <row r="1047" spans="2:9" ht="13.2">
      <c r="B1047" s="368" t="s">
        <v>253</v>
      </c>
      <c r="C1047" s="66"/>
      <c r="D1047" s="82"/>
      <c r="E1047" s="80" t="s">
        <v>567</v>
      </c>
      <c r="F1047" s="81" t="s">
        <v>23</v>
      </c>
      <c r="G1047" s="225">
        <v>29110</v>
      </c>
      <c r="H1047" s="69">
        <f t="shared" si="112"/>
        <v>0</v>
      </c>
      <c r="I1047" s="244">
        <f>ROUND($G1047*H1047,2)</f>
        <v>0</v>
      </c>
    </row>
    <row r="1048" spans="2:9" ht="13.2">
      <c r="B1048" s="368" t="s">
        <v>254</v>
      </c>
      <c r="C1048" s="66"/>
      <c r="D1048" s="82"/>
      <c r="E1048" s="80" t="s">
        <v>568</v>
      </c>
      <c r="F1048" s="81" t="s">
        <v>23</v>
      </c>
      <c r="G1048" s="225">
        <v>25800</v>
      </c>
      <c r="H1048" s="69">
        <f t="shared" si="112"/>
        <v>0</v>
      </c>
      <c r="I1048" s="244">
        <f>ROUND($G1048*H1048,2)</f>
        <v>0</v>
      </c>
    </row>
    <row r="1049" spans="2:9" ht="13.2">
      <c r="B1049" s="368" t="s">
        <v>255</v>
      </c>
      <c r="C1049" s="66"/>
      <c r="D1049" s="82"/>
      <c r="E1049" s="80" t="s">
        <v>569</v>
      </c>
      <c r="F1049" s="81" t="s">
        <v>23</v>
      </c>
      <c r="G1049" s="225">
        <v>39720</v>
      </c>
      <c r="H1049" s="69">
        <f t="shared" si="112"/>
        <v>0</v>
      </c>
      <c r="I1049" s="244">
        <f>ROUND($G1049*H1049,2)</f>
        <v>0</v>
      </c>
    </row>
    <row r="1050" spans="2:9" ht="13.2">
      <c r="B1050" s="369"/>
      <c r="C1050" s="83"/>
      <c r="D1050" s="84"/>
      <c r="E1050" s="87" t="s">
        <v>26</v>
      </c>
      <c r="F1050" s="81" t="s">
        <v>153</v>
      </c>
      <c r="G1050" s="226"/>
      <c r="H1050" s="65" t="s">
        <v>13</v>
      </c>
      <c r="I1050" s="182" t="s">
        <v>13</v>
      </c>
    </row>
    <row r="1051" spans="2:9" ht="13.2">
      <c r="B1051" s="367" t="s">
        <v>256</v>
      </c>
      <c r="C1051" s="375" t="s">
        <v>174</v>
      </c>
      <c r="D1051" s="374"/>
      <c r="E1051" s="376" t="s">
        <v>27</v>
      </c>
      <c r="F1051" s="377"/>
      <c r="G1051" s="411"/>
      <c r="H1051" s="389"/>
      <c r="I1051" s="380"/>
    </row>
    <row r="1052" spans="2:9" ht="24">
      <c r="B1052" s="367"/>
      <c r="C1052" s="71"/>
      <c r="D1052" s="72"/>
      <c r="E1052" s="73" t="s">
        <v>241</v>
      </c>
      <c r="F1052" s="30"/>
      <c r="G1052" s="222"/>
      <c r="H1052"/>
      <c r="I1052" s="32"/>
    </row>
    <row r="1053" spans="2:9" ht="13.2">
      <c r="B1053" s="367" t="s">
        <v>257</v>
      </c>
      <c r="C1053" s="74" t="s">
        <v>175</v>
      </c>
      <c r="D1053" s="75"/>
      <c r="E1053" s="76" t="s">
        <v>29</v>
      </c>
      <c r="F1053" s="62" t="s">
        <v>13</v>
      </c>
      <c r="G1053" s="63" t="s">
        <v>13</v>
      </c>
      <c r="H1053" s="69" t="s">
        <v>13</v>
      </c>
      <c r="I1053" s="65" t="s">
        <v>13</v>
      </c>
    </row>
    <row r="1054" spans="2:9" ht="22.8">
      <c r="B1054" s="368" t="s">
        <v>258</v>
      </c>
      <c r="C1054" s="98"/>
      <c r="D1054" s="99"/>
      <c r="E1054" s="76" t="s">
        <v>367</v>
      </c>
      <c r="F1054" s="62" t="s">
        <v>17</v>
      </c>
      <c r="G1054" s="225">
        <v>356</v>
      </c>
      <c r="H1054" s="69">
        <f t="shared" si="112"/>
        <v>0</v>
      </c>
      <c r="I1054" s="244">
        <f>ROUND($G1054*H1054,2)</f>
        <v>0</v>
      </c>
    </row>
    <row r="1055" spans="2:9" ht="13.2">
      <c r="B1055" s="367" t="s">
        <v>259</v>
      </c>
      <c r="C1055" s="66" t="s">
        <v>176</v>
      </c>
      <c r="D1055" s="66"/>
      <c r="E1055" s="90" t="s">
        <v>31</v>
      </c>
      <c r="F1055" s="81" t="s">
        <v>13</v>
      </c>
      <c r="G1055" s="228" t="s">
        <v>13</v>
      </c>
      <c r="H1055" s="65" t="s">
        <v>13</v>
      </c>
      <c r="I1055" s="65" t="s">
        <v>13</v>
      </c>
    </row>
    <row r="1056" spans="2:9" ht="13.2">
      <c r="B1056" s="368" t="s">
        <v>260</v>
      </c>
      <c r="C1056" s="66"/>
      <c r="D1056" s="66"/>
      <c r="E1056" s="67" t="s">
        <v>450</v>
      </c>
      <c r="F1056" s="62" t="s">
        <v>17</v>
      </c>
      <c r="G1056" s="225">
        <v>506</v>
      </c>
      <c r="H1056" s="69">
        <f t="shared" si="112"/>
        <v>0</v>
      </c>
      <c r="I1056" s="244">
        <f>ROUND($G1056*H1056,2)</f>
        <v>0</v>
      </c>
    </row>
    <row r="1057" spans="2:9" ht="13.2">
      <c r="B1057" s="367" t="s">
        <v>261</v>
      </c>
      <c r="C1057" s="66" t="s">
        <v>177</v>
      </c>
      <c r="D1057" s="66"/>
      <c r="E1057" s="90" t="s">
        <v>129</v>
      </c>
      <c r="F1057" s="81" t="s">
        <v>13</v>
      </c>
      <c r="G1057" s="228" t="s">
        <v>13</v>
      </c>
      <c r="H1057" s="65" t="s">
        <v>13</v>
      </c>
      <c r="I1057" s="49" t="s">
        <v>13</v>
      </c>
    </row>
    <row r="1058" spans="2:9" ht="13.2">
      <c r="B1058" s="368" t="s">
        <v>262</v>
      </c>
      <c r="C1058" s="83"/>
      <c r="D1058" s="83"/>
      <c r="E1058" s="67" t="s">
        <v>570</v>
      </c>
      <c r="F1058" s="62" t="s">
        <v>17</v>
      </c>
      <c r="G1058" s="225">
        <v>51.1</v>
      </c>
      <c r="H1058" s="69">
        <f t="shared" si="112"/>
        <v>0</v>
      </c>
      <c r="I1058" s="244">
        <f>ROUND($G1058*H1058,2)</f>
        <v>0</v>
      </c>
    </row>
    <row r="1059" spans="2:9" ht="13.2">
      <c r="B1059" s="367" t="s">
        <v>263</v>
      </c>
      <c r="C1059" s="74" t="s">
        <v>178</v>
      </c>
      <c r="D1059" s="74"/>
      <c r="E1059" s="90" t="s">
        <v>34</v>
      </c>
      <c r="F1059" s="62" t="s">
        <v>13</v>
      </c>
      <c r="G1059" s="63" t="s">
        <v>13</v>
      </c>
      <c r="H1059" s="65" t="s">
        <v>13</v>
      </c>
      <c r="I1059" s="65" t="s">
        <v>13</v>
      </c>
    </row>
    <row r="1060" spans="2:9" ht="22.8">
      <c r="B1060" s="368" t="s">
        <v>264</v>
      </c>
      <c r="C1060" s="91"/>
      <c r="D1060" s="91"/>
      <c r="E1060" s="92" t="s">
        <v>146</v>
      </c>
      <c r="F1060" s="62" t="s">
        <v>17</v>
      </c>
      <c r="G1060" s="225">
        <v>101</v>
      </c>
      <c r="H1060" s="69">
        <f t="shared" si="112"/>
        <v>0</v>
      </c>
      <c r="I1060" s="244">
        <f>ROUND($G1060*H1060,2)</f>
        <v>0</v>
      </c>
    </row>
    <row r="1061" spans="2:9" ht="13.2">
      <c r="B1061" s="367" t="s">
        <v>265</v>
      </c>
      <c r="C1061" s="60" t="s">
        <v>541</v>
      </c>
      <c r="D1061" s="60"/>
      <c r="E1061" s="90" t="s">
        <v>542</v>
      </c>
      <c r="F1061" s="62" t="s">
        <v>13</v>
      </c>
      <c r="G1061" s="63" t="s">
        <v>13</v>
      </c>
      <c r="H1061" s="65" t="s">
        <v>13</v>
      </c>
      <c r="I1061" s="65" t="s">
        <v>13</v>
      </c>
    </row>
    <row r="1062" spans="2:9" ht="13.2">
      <c r="B1062" s="368" t="s">
        <v>266</v>
      </c>
      <c r="C1062" s="66"/>
      <c r="D1062" s="66"/>
      <c r="E1062" s="90" t="s">
        <v>518</v>
      </c>
      <c r="F1062" s="62" t="s">
        <v>17</v>
      </c>
      <c r="G1062" s="93">
        <v>72</v>
      </c>
      <c r="H1062" s="69">
        <f t="shared" si="112"/>
        <v>0</v>
      </c>
      <c r="I1062" s="244">
        <f>ROUND($G1062*H1062,2)</f>
        <v>0</v>
      </c>
    </row>
    <row r="1063" spans="2:9" ht="13.2">
      <c r="B1063" s="369"/>
      <c r="C1063" s="62"/>
      <c r="D1063" s="95"/>
      <c r="E1063" s="87" t="s">
        <v>39</v>
      </c>
      <c r="F1063" s="62" t="s">
        <v>153</v>
      </c>
      <c r="G1063" s="96"/>
      <c r="H1063" s="65" t="s">
        <v>13</v>
      </c>
      <c r="I1063" s="182" t="s">
        <v>13</v>
      </c>
    </row>
    <row r="1064" spans="2:9" ht="13.2">
      <c r="B1064" s="367" t="s">
        <v>267</v>
      </c>
      <c r="C1064" s="74" t="s">
        <v>181</v>
      </c>
      <c r="D1064" s="75"/>
      <c r="E1064" s="97" t="s">
        <v>139</v>
      </c>
      <c r="F1064" s="62" t="s">
        <v>13</v>
      </c>
      <c r="G1064" s="63" t="s">
        <v>13</v>
      </c>
      <c r="H1064" s="65" t="s">
        <v>13</v>
      </c>
      <c r="I1064" s="65" t="s">
        <v>13</v>
      </c>
    </row>
    <row r="1065" spans="2:9" ht="22.8">
      <c r="B1065" s="368" t="s">
        <v>268</v>
      </c>
      <c r="C1065" s="88"/>
      <c r="D1065" s="89"/>
      <c r="E1065" s="100" t="s">
        <v>140</v>
      </c>
      <c r="F1065" s="62" t="s">
        <v>17</v>
      </c>
      <c r="G1065" s="225">
        <v>180</v>
      </c>
      <c r="H1065" s="69">
        <f t="shared" si="112"/>
        <v>0</v>
      </c>
      <c r="I1065" s="244">
        <f>ROUND($G1065*H1065,2)</f>
        <v>0</v>
      </c>
    </row>
    <row r="1066" spans="2:9" ht="13.2">
      <c r="B1066" s="369"/>
      <c r="C1066" s="103"/>
      <c r="D1066" s="104"/>
      <c r="E1066" s="87" t="s">
        <v>43</v>
      </c>
      <c r="F1066" s="62" t="s">
        <v>153</v>
      </c>
      <c r="G1066" s="229"/>
      <c r="H1066" s="182" t="s">
        <v>13</v>
      </c>
      <c r="I1066" s="182" t="s">
        <v>13</v>
      </c>
    </row>
    <row r="1067" spans="2:9" ht="13.2">
      <c r="B1067" s="367" t="s">
        <v>272</v>
      </c>
      <c r="C1067" s="375" t="s">
        <v>200</v>
      </c>
      <c r="D1067" s="374"/>
      <c r="E1067" s="376" t="s">
        <v>44</v>
      </c>
      <c r="F1067" s="377"/>
      <c r="G1067" s="414"/>
      <c r="H1067" s="380"/>
      <c r="I1067" s="380"/>
    </row>
    <row r="1068" spans="2:9" ht="24">
      <c r="B1068" s="367"/>
      <c r="C1068" s="71"/>
      <c r="D1068" s="72"/>
      <c r="E1068" s="73" t="s">
        <v>241</v>
      </c>
      <c r="F1068" s="30"/>
      <c r="G1068" s="230"/>
      <c r="H1068" s="32"/>
      <c r="I1068" s="32"/>
    </row>
    <row r="1069" spans="2:9" ht="13.2">
      <c r="B1069" s="367" t="s">
        <v>273</v>
      </c>
      <c r="C1069" s="74" t="s">
        <v>167</v>
      </c>
      <c r="D1069" s="74"/>
      <c r="E1069" s="90" t="s">
        <v>132</v>
      </c>
      <c r="F1069" s="62" t="s">
        <v>13</v>
      </c>
      <c r="G1069" s="228" t="s">
        <v>13</v>
      </c>
      <c r="H1069" s="65" t="s">
        <v>13</v>
      </c>
      <c r="I1069" s="65" t="s">
        <v>13</v>
      </c>
    </row>
    <row r="1070" spans="2:9" ht="22.8">
      <c r="B1070" s="368" t="s">
        <v>330</v>
      </c>
      <c r="C1070" s="106" t="s">
        <v>120</v>
      </c>
      <c r="D1070" s="106"/>
      <c r="E1070" s="92" t="s">
        <v>571</v>
      </c>
      <c r="F1070" s="62" t="s">
        <v>4</v>
      </c>
      <c r="G1070" s="225">
        <v>5</v>
      </c>
      <c r="H1070" s="69">
        <f t="shared" si="112"/>
        <v>0</v>
      </c>
      <c r="I1070" s="244">
        <f>ROUND($G1070*H1070,2)</f>
        <v>0</v>
      </c>
    </row>
    <row r="1071" spans="2:9" ht="13.2">
      <c r="B1071" s="369"/>
      <c r="C1071" s="12"/>
      <c r="D1071" s="25"/>
      <c r="E1071" s="87" t="s">
        <v>46</v>
      </c>
      <c r="F1071" s="13" t="s">
        <v>153</v>
      </c>
      <c r="G1071" s="96"/>
      <c r="H1071" s="182" t="s">
        <v>13</v>
      </c>
      <c r="I1071" s="182" t="s">
        <v>13</v>
      </c>
    </row>
    <row r="1072" spans="2:9" ht="13.2">
      <c r="B1072" s="367" t="s">
        <v>275</v>
      </c>
      <c r="C1072" s="375" t="s">
        <v>201</v>
      </c>
      <c r="D1072" s="374"/>
      <c r="E1072" s="407" t="s">
        <v>380</v>
      </c>
      <c r="F1072" s="377"/>
      <c r="G1072" s="411"/>
      <c r="H1072" s="380"/>
      <c r="I1072" s="380"/>
    </row>
    <row r="1073" spans="2:9" ht="24">
      <c r="B1073" s="367"/>
      <c r="C1073" s="71"/>
      <c r="D1073" s="72"/>
      <c r="E1073" s="73" t="s">
        <v>241</v>
      </c>
      <c r="F1073" s="30"/>
      <c r="G1073" s="230"/>
      <c r="H1073" s="32"/>
      <c r="I1073" s="32"/>
    </row>
    <row r="1074" spans="2:9" ht="13.2">
      <c r="B1074" s="367" t="s">
        <v>276</v>
      </c>
      <c r="C1074" s="60" t="s">
        <v>182</v>
      </c>
      <c r="D1074" s="60"/>
      <c r="E1074" s="90" t="s">
        <v>49</v>
      </c>
      <c r="F1074" s="62" t="s">
        <v>13</v>
      </c>
      <c r="G1074" s="63" t="s">
        <v>13</v>
      </c>
      <c r="H1074" s="65" t="s">
        <v>13</v>
      </c>
      <c r="I1074" s="65" t="s">
        <v>13</v>
      </c>
    </row>
    <row r="1075" spans="2:9" ht="34.200000000000003">
      <c r="B1075" s="368" t="s">
        <v>277</v>
      </c>
      <c r="C1075" s="66"/>
      <c r="D1075" s="66"/>
      <c r="E1075" s="110" t="s">
        <v>207</v>
      </c>
      <c r="F1075" s="62" t="s">
        <v>15</v>
      </c>
      <c r="G1075" s="225">
        <v>1045</v>
      </c>
      <c r="H1075" s="69">
        <f t="shared" si="112"/>
        <v>0</v>
      </c>
      <c r="I1075" s="244">
        <f>ROUND($G1075*H1075,2)</f>
        <v>0</v>
      </c>
    </row>
    <row r="1076" spans="2:9" ht="13.2">
      <c r="B1076" s="367" t="s">
        <v>279</v>
      </c>
      <c r="C1076" s="74" t="s">
        <v>168</v>
      </c>
      <c r="D1076" s="74"/>
      <c r="E1076" s="90" t="s">
        <v>155</v>
      </c>
      <c r="F1076" s="81" t="s">
        <v>13</v>
      </c>
      <c r="G1076" s="228" t="s">
        <v>13</v>
      </c>
      <c r="H1076" s="69" t="s">
        <v>13</v>
      </c>
      <c r="I1076" s="65" t="s">
        <v>13</v>
      </c>
    </row>
    <row r="1077" spans="2:9" ht="22.8">
      <c r="B1077" s="368" t="s">
        <v>280</v>
      </c>
      <c r="C1077" s="103"/>
      <c r="D1077" s="103"/>
      <c r="E1077" s="110" t="s">
        <v>502</v>
      </c>
      <c r="F1077" s="62" t="s">
        <v>15</v>
      </c>
      <c r="G1077" s="225">
        <v>70</v>
      </c>
      <c r="H1077" s="69">
        <f t="shared" si="112"/>
        <v>0</v>
      </c>
      <c r="I1077" s="244">
        <f>ROUND($G1077*H1077,2)</f>
        <v>0</v>
      </c>
    </row>
    <row r="1078" spans="2:9" ht="13.2">
      <c r="B1078" s="369"/>
      <c r="C1078" s="12"/>
      <c r="D1078" s="25"/>
      <c r="E1078" s="87" t="s">
        <v>58</v>
      </c>
      <c r="F1078" s="13" t="s">
        <v>153</v>
      </c>
      <c r="G1078" s="96"/>
      <c r="H1078" s="182" t="s">
        <v>13</v>
      </c>
      <c r="I1078" s="182" t="s">
        <v>13</v>
      </c>
    </row>
    <row r="1079" spans="2:9" ht="13.2">
      <c r="B1079" s="367" t="s">
        <v>288</v>
      </c>
      <c r="C1079" s="385" t="s">
        <v>186</v>
      </c>
      <c r="D1079" s="386"/>
      <c r="E1079" s="387" t="s">
        <v>81</v>
      </c>
      <c r="F1079" s="388"/>
      <c r="G1079" s="411"/>
      <c r="H1079" s="380"/>
      <c r="I1079" s="380"/>
    </row>
    <row r="1080" spans="2:9" ht="24">
      <c r="B1080" s="367"/>
      <c r="C1080" s="71"/>
      <c r="D1080" s="72"/>
      <c r="E1080" s="73" t="s">
        <v>241</v>
      </c>
      <c r="F1080" s="30"/>
      <c r="G1080" s="231"/>
      <c r="H1080" s="113"/>
      <c r="I1080" s="113"/>
    </row>
    <row r="1081" spans="2:9" ht="13.2">
      <c r="B1081" s="367" t="s">
        <v>289</v>
      </c>
      <c r="C1081" s="74" t="s">
        <v>381</v>
      </c>
      <c r="D1081" s="91"/>
      <c r="E1081" s="172" t="s">
        <v>382</v>
      </c>
      <c r="F1081" s="62" t="s">
        <v>13</v>
      </c>
      <c r="G1081" s="233" t="s">
        <v>13</v>
      </c>
      <c r="H1081" s="65" t="s">
        <v>13</v>
      </c>
      <c r="I1081" s="65" t="s">
        <v>13</v>
      </c>
    </row>
    <row r="1082" spans="2:9" ht="22.8">
      <c r="B1082" s="368" t="s">
        <v>290</v>
      </c>
      <c r="C1082" s="173"/>
      <c r="D1082" s="173"/>
      <c r="E1082" s="67" t="s">
        <v>550</v>
      </c>
      <c r="F1082" s="62" t="s">
        <v>3</v>
      </c>
      <c r="G1082" s="225">
        <v>2</v>
      </c>
      <c r="H1082" s="69">
        <f t="shared" si="112"/>
        <v>0</v>
      </c>
      <c r="I1082" s="244">
        <f>ROUND($G1082*H1082,2)</f>
        <v>0</v>
      </c>
    </row>
    <row r="1083" spans="2:9" ht="13.2">
      <c r="B1083" s="367" t="s">
        <v>384</v>
      </c>
      <c r="C1083" s="74" t="s">
        <v>187</v>
      </c>
      <c r="D1083" s="74"/>
      <c r="E1083" s="61" t="s">
        <v>572</v>
      </c>
      <c r="F1083" s="62" t="s">
        <v>13</v>
      </c>
      <c r="G1083" s="233" t="s">
        <v>13</v>
      </c>
      <c r="H1083" s="233" t="s">
        <v>13</v>
      </c>
      <c r="I1083" s="65" t="s">
        <v>13</v>
      </c>
    </row>
    <row r="1084" spans="2:9" ht="13.2">
      <c r="B1084" s="368" t="s">
        <v>385</v>
      </c>
      <c r="C1084" s="115"/>
      <c r="D1084" s="115"/>
      <c r="E1084" s="145" t="s">
        <v>520</v>
      </c>
      <c r="F1084" s="62" t="s">
        <v>4</v>
      </c>
      <c r="G1084" s="225">
        <v>11</v>
      </c>
      <c r="H1084" s="69">
        <f t="shared" si="112"/>
        <v>0</v>
      </c>
      <c r="I1084" s="244">
        <f>ROUND($G1084*H1084,2)</f>
        <v>0</v>
      </c>
    </row>
    <row r="1085" spans="2:9" ht="22.8">
      <c r="B1085" s="368" t="s">
        <v>387</v>
      </c>
      <c r="C1085" s="115"/>
      <c r="D1085" s="115"/>
      <c r="E1085" s="67" t="s">
        <v>388</v>
      </c>
      <c r="F1085" s="62" t="s">
        <v>4</v>
      </c>
      <c r="G1085" s="225">
        <v>15</v>
      </c>
      <c r="H1085" s="69">
        <f t="shared" si="112"/>
        <v>0</v>
      </c>
      <c r="I1085" s="244">
        <f>ROUND($G1085*H1085,2)</f>
        <v>0</v>
      </c>
    </row>
    <row r="1086" spans="2:9" ht="13.2">
      <c r="B1086" s="369"/>
      <c r="C1086" s="73"/>
      <c r="D1086" s="118"/>
      <c r="E1086" s="112" t="s">
        <v>85</v>
      </c>
      <c r="F1086" s="13" t="s">
        <v>153</v>
      </c>
      <c r="G1086" s="119"/>
      <c r="H1086" s="182" t="s">
        <v>13</v>
      </c>
      <c r="I1086" s="182" t="s">
        <v>13</v>
      </c>
    </row>
    <row r="1087" spans="2:9" ht="13.2">
      <c r="B1087" s="367" t="s">
        <v>292</v>
      </c>
      <c r="C1087" s="375" t="s">
        <v>188</v>
      </c>
      <c r="D1087" s="374"/>
      <c r="E1087" s="376" t="s">
        <v>59</v>
      </c>
      <c r="F1087" s="377"/>
      <c r="G1087" s="411"/>
      <c r="H1087" s="380"/>
      <c r="I1087" s="380"/>
    </row>
    <row r="1088" spans="2:9" ht="24">
      <c r="B1088" s="367"/>
      <c r="C1088" s="71"/>
      <c r="D1088" s="72"/>
      <c r="E1088" s="73" t="s">
        <v>241</v>
      </c>
      <c r="F1088" s="30"/>
      <c r="G1088" s="230"/>
      <c r="H1088" s="32"/>
      <c r="I1088" s="32"/>
    </row>
    <row r="1089" spans="2:9" ht="13.2">
      <c r="B1089" s="367" t="s">
        <v>293</v>
      </c>
      <c r="C1089" s="120" t="s">
        <v>189</v>
      </c>
      <c r="D1089" s="121"/>
      <c r="E1089" s="122" t="s">
        <v>60</v>
      </c>
      <c r="F1089" s="62" t="s">
        <v>13</v>
      </c>
      <c r="G1089" s="63" t="s">
        <v>13</v>
      </c>
      <c r="H1089" s="65" t="s">
        <v>13</v>
      </c>
      <c r="I1089" s="65" t="s">
        <v>13</v>
      </c>
    </row>
    <row r="1090" spans="2:9" ht="34.200000000000003">
      <c r="B1090" s="368" t="s">
        <v>294</v>
      </c>
      <c r="C1090" s="123"/>
      <c r="D1090" s="124"/>
      <c r="E1090" s="80" t="s">
        <v>573</v>
      </c>
      <c r="F1090" s="81" t="s">
        <v>4</v>
      </c>
      <c r="G1090" s="225">
        <v>98</v>
      </c>
      <c r="H1090" s="69">
        <f t="shared" si="112"/>
        <v>0</v>
      </c>
      <c r="I1090" s="244">
        <f>ROUND($G1090*H1090,2)</f>
        <v>0</v>
      </c>
    </row>
    <row r="1091" spans="2:9" ht="13.2">
      <c r="B1091" s="369"/>
      <c r="C1091" s="129"/>
      <c r="D1091" s="130"/>
      <c r="E1091" s="87" t="s">
        <v>61</v>
      </c>
      <c r="F1091" s="13" t="s">
        <v>153</v>
      </c>
      <c r="G1091" s="119"/>
      <c r="H1091" s="182" t="s">
        <v>13</v>
      </c>
      <c r="I1091" s="182" t="s">
        <v>13</v>
      </c>
    </row>
    <row r="1092" spans="2:9" ht="13.2">
      <c r="B1092" s="367" t="s">
        <v>297</v>
      </c>
      <c r="C1092" s="375" t="s">
        <v>190</v>
      </c>
      <c r="D1092" s="374"/>
      <c r="E1092" s="376" t="s">
        <v>62</v>
      </c>
      <c r="F1092" s="377"/>
      <c r="G1092" s="411"/>
      <c r="H1092" s="380"/>
      <c r="I1092" s="380"/>
    </row>
    <row r="1093" spans="2:9" ht="24">
      <c r="B1093" s="367"/>
      <c r="C1093" s="71"/>
      <c r="D1093" s="72"/>
      <c r="E1093" s="73" t="s">
        <v>241</v>
      </c>
      <c r="F1093" s="30"/>
      <c r="G1093" s="222"/>
      <c r="H1093" s="32"/>
      <c r="I1093" s="32"/>
    </row>
    <row r="1094" spans="2:9" ht="13.2">
      <c r="B1094" s="367" t="s">
        <v>298</v>
      </c>
      <c r="C1094" s="60" t="s">
        <v>191</v>
      </c>
      <c r="D1094" s="60"/>
      <c r="E1094" s="90" t="s">
        <v>244</v>
      </c>
      <c r="F1094" s="62" t="s">
        <v>13</v>
      </c>
      <c r="G1094" s="63" t="s">
        <v>13</v>
      </c>
      <c r="H1094" s="65" t="s">
        <v>13</v>
      </c>
      <c r="I1094" s="65" t="s">
        <v>13</v>
      </c>
    </row>
    <row r="1095" spans="2:9" ht="22.8">
      <c r="B1095" s="368" t="s">
        <v>299</v>
      </c>
      <c r="C1095" s="66"/>
      <c r="D1095" s="66"/>
      <c r="E1095" s="216" t="s">
        <v>528</v>
      </c>
      <c r="F1095" s="132" t="s">
        <v>23</v>
      </c>
      <c r="G1095" s="225">
        <v>1350</v>
      </c>
      <c r="H1095" s="69">
        <f t="shared" si="112"/>
        <v>0</v>
      </c>
      <c r="I1095" s="244">
        <f>ROUND($G1095*H1095,2)</f>
        <v>0</v>
      </c>
    </row>
    <row r="1096" spans="2:9" ht="13.2">
      <c r="B1096" s="369"/>
      <c r="C1096" s="12"/>
      <c r="D1096" s="25"/>
      <c r="E1096" s="87" t="s">
        <v>63</v>
      </c>
      <c r="F1096" s="13"/>
      <c r="G1096" s="134"/>
      <c r="H1096" s="182" t="s">
        <v>13</v>
      </c>
      <c r="I1096" s="182" t="s">
        <v>13</v>
      </c>
    </row>
    <row r="1097" spans="2:9" ht="13.2">
      <c r="B1097" s="367" t="s">
        <v>301</v>
      </c>
      <c r="C1097" s="375" t="s">
        <v>192</v>
      </c>
      <c r="D1097" s="374"/>
      <c r="E1097" s="376" t="s">
        <v>64</v>
      </c>
      <c r="F1097" s="377"/>
      <c r="G1097" s="411"/>
      <c r="H1097" s="380"/>
      <c r="I1097" s="380"/>
    </row>
    <row r="1098" spans="2:9" ht="24">
      <c r="B1098" s="367"/>
      <c r="C1098" s="71"/>
      <c r="D1098" s="72"/>
      <c r="E1098" s="73" t="s">
        <v>241</v>
      </c>
      <c r="F1098" s="30"/>
      <c r="G1098" s="222"/>
      <c r="H1098" s="32"/>
      <c r="I1098" s="32"/>
    </row>
    <row r="1099" spans="2:9" ht="13.2">
      <c r="B1099" s="367" t="s">
        <v>302</v>
      </c>
      <c r="C1099" s="60" t="s">
        <v>193</v>
      </c>
      <c r="D1099" s="60"/>
      <c r="E1099" s="135" t="s">
        <v>66</v>
      </c>
      <c r="F1099" s="136" t="s">
        <v>13</v>
      </c>
      <c r="G1099" s="140" t="s">
        <v>13</v>
      </c>
      <c r="H1099" s="65" t="s">
        <v>13</v>
      </c>
      <c r="I1099" s="65" t="s">
        <v>13</v>
      </c>
    </row>
    <row r="1100" spans="2:9" ht="22.8">
      <c r="B1100" s="368" t="s">
        <v>303</v>
      </c>
      <c r="C1100" s="83"/>
      <c r="D1100" s="83"/>
      <c r="E1100" s="116" t="s">
        <v>158</v>
      </c>
      <c r="F1100" s="137" t="s">
        <v>16</v>
      </c>
      <c r="G1100" s="225">
        <v>265</v>
      </c>
      <c r="H1100" s="69">
        <f t="shared" si="112"/>
        <v>0</v>
      </c>
      <c r="I1100" s="244">
        <f>ROUND($G1100*H1100,2)</f>
        <v>0</v>
      </c>
    </row>
    <row r="1101" spans="2:9" ht="13.2">
      <c r="B1101" s="367" t="s">
        <v>304</v>
      </c>
      <c r="C1101" s="74" t="s">
        <v>194</v>
      </c>
      <c r="D1101" s="74"/>
      <c r="E1101" s="135" t="s">
        <v>68</v>
      </c>
      <c r="F1101" s="136" t="s">
        <v>13</v>
      </c>
      <c r="G1101" s="140" t="s">
        <v>13</v>
      </c>
      <c r="H1101" s="69" t="s">
        <v>13</v>
      </c>
      <c r="I1101" s="65" t="s">
        <v>13</v>
      </c>
    </row>
    <row r="1102" spans="2:9" ht="34.799999999999997">
      <c r="B1102" s="368" t="s">
        <v>305</v>
      </c>
      <c r="C1102" s="98"/>
      <c r="D1102" s="98"/>
      <c r="E1102" s="116" t="s">
        <v>554</v>
      </c>
      <c r="F1102" s="136" t="s">
        <v>4</v>
      </c>
      <c r="G1102" s="225">
        <v>130</v>
      </c>
      <c r="H1102" s="69">
        <f t="shared" si="112"/>
        <v>0</v>
      </c>
      <c r="I1102" s="244">
        <f>ROUND($G1102*H1102,2)</f>
        <v>0</v>
      </c>
    </row>
    <row r="1103" spans="2:9" ht="13.2">
      <c r="B1103" s="367" t="s">
        <v>557</v>
      </c>
      <c r="C1103" s="60" t="s">
        <v>195</v>
      </c>
      <c r="D1103" s="60"/>
      <c r="E1103" s="90" t="s">
        <v>71</v>
      </c>
      <c r="F1103" s="140" t="s">
        <v>13</v>
      </c>
      <c r="G1103" s="234" t="s">
        <v>13</v>
      </c>
      <c r="H1103" s="65" t="s">
        <v>13</v>
      </c>
      <c r="I1103" s="65" t="s">
        <v>13</v>
      </c>
    </row>
    <row r="1104" spans="2:9" ht="57">
      <c r="B1104" s="368" t="s">
        <v>558</v>
      </c>
      <c r="C1104" s="66"/>
      <c r="D1104" s="66"/>
      <c r="E1104" s="141" t="s">
        <v>127</v>
      </c>
      <c r="F1104" s="137" t="s">
        <v>16</v>
      </c>
      <c r="G1104" s="68">
        <v>195</v>
      </c>
      <c r="H1104" s="69">
        <f t="shared" si="112"/>
        <v>0</v>
      </c>
      <c r="I1104" s="244">
        <f>ROUND($G1104*H1104,2)</f>
        <v>0</v>
      </c>
    </row>
    <row r="1105" spans="2:9" ht="22.8">
      <c r="B1105" s="367" t="s">
        <v>311</v>
      </c>
      <c r="C1105" s="60" t="s">
        <v>196</v>
      </c>
      <c r="D1105" s="60"/>
      <c r="E1105" s="145" t="s">
        <v>131</v>
      </c>
      <c r="F1105" s="146" t="s">
        <v>13</v>
      </c>
      <c r="G1105" s="245" t="s">
        <v>13</v>
      </c>
      <c r="H1105" s="65" t="s">
        <v>13</v>
      </c>
      <c r="I1105" s="65" t="s">
        <v>13</v>
      </c>
    </row>
    <row r="1106" spans="2:9" ht="34.200000000000003">
      <c r="B1106" s="368" t="s">
        <v>312</v>
      </c>
      <c r="C1106" s="66"/>
      <c r="D1106" s="66"/>
      <c r="E1106" s="147" t="s">
        <v>574</v>
      </c>
      <c r="F1106" s="146" t="s">
        <v>4</v>
      </c>
      <c r="G1106" s="225">
        <v>30</v>
      </c>
      <c r="H1106" s="69">
        <f t="shared" si="112"/>
        <v>0</v>
      </c>
      <c r="I1106" s="244">
        <f>ROUND($G1106*H1106,2)</f>
        <v>0</v>
      </c>
    </row>
    <row r="1107" spans="2:9" ht="22.8">
      <c r="B1107" s="367" t="s">
        <v>314</v>
      </c>
      <c r="C1107" s="217" t="s">
        <v>530</v>
      </c>
      <c r="D1107" s="217"/>
      <c r="E1107" s="110" t="s">
        <v>531</v>
      </c>
      <c r="F1107" s="62" t="s">
        <v>13</v>
      </c>
      <c r="G1107" s="63" t="s">
        <v>13</v>
      </c>
      <c r="H1107" s="65" t="s">
        <v>13</v>
      </c>
      <c r="I1107" s="49" t="s">
        <v>13</v>
      </c>
    </row>
    <row r="1108" spans="2:9" ht="22.8">
      <c r="B1108" s="368" t="s">
        <v>315</v>
      </c>
      <c r="C1108" s="218"/>
      <c r="D1108" s="218"/>
      <c r="E1108" s="131" t="s">
        <v>532</v>
      </c>
      <c r="F1108" s="81" t="s">
        <v>16</v>
      </c>
      <c r="G1108" s="225">
        <v>485</v>
      </c>
      <c r="H1108" s="69">
        <f t="shared" si="112"/>
        <v>0</v>
      </c>
      <c r="I1108" s="244">
        <f>ROUND($G1108*H1108,2)</f>
        <v>0</v>
      </c>
    </row>
    <row r="1109" spans="2:9" ht="22.8">
      <c r="B1109" s="368" t="s">
        <v>560</v>
      </c>
      <c r="C1109" s="66"/>
      <c r="D1109" s="66"/>
      <c r="E1109" s="131" t="s">
        <v>575</v>
      </c>
      <c r="F1109" s="81" t="s">
        <v>16</v>
      </c>
      <c r="G1109" s="225">
        <v>750</v>
      </c>
      <c r="H1109" s="69">
        <f t="shared" si="112"/>
        <v>0</v>
      </c>
      <c r="I1109" s="244">
        <f>ROUND($G1109*H1109,2)</f>
        <v>0</v>
      </c>
    </row>
    <row r="1110" spans="2:9" ht="22.8">
      <c r="B1110" s="367" t="s">
        <v>316</v>
      </c>
      <c r="C1110" s="74" t="s">
        <v>197</v>
      </c>
      <c r="D1110" s="74"/>
      <c r="E1110" s="148" t="s">
        <v>73</v>
      </c>
      <c r="F1110" s="81" t="s">
        <v>13</v>
      </c>
      <c r="G1110" s="228" t="s">
        <v>13</v>
      </c>
      <c r="H1110" s="65" t="s">
        <v>13</v>
      </c>
      <c r="I1110" s="65" t="s">
        <v>13</v>
      </c>
    </row>
    <row r="1111" spans="2:9" ht="13.2">
      <c r="B1111" s="368" t="s">
        <v>317</v>
      </c>
      <c r="C1111" s="98"/>
      <c r="D1111" s="98"/>
      <c r="E1111" s="149" t="s">
        <v>74</v>
      </c>
      <c r="F1111" s="136" t="s">
        <v>3</v>
      </c>
      <c r="G1111" s="225">
        <v>2</v>
      </c>
      <c r="H1111" s="69">
        <f t="shared" ref="H1111:H1122" si="113">L1111*$K$5</f>
        <v>0</v>
      </c>
      <c r="I1111" s="244">
        <f>ROUND($G1111*H1111,2)</f>
        <v>0</v>
      </c>
    </row>
    <row r="1112" spans="2:9" ht="22.8">
      <c r="B1112" s="368" t="s">
        <v>318</v>
      </c>
      <c r="C1112" s="101"/>
      <c r="D1112" s="101"/>
      <c r="E1112" s="150" t="s">
        <v>128</v>
      </c>
      <c r="F1112" s="151" t="s">
        <v>3</v>
      </c>
      <c r="G1112" s="225">
        <v>10</v>
      </c>
      <c r="H1112" s="69">
        <f t="shared" si="113"/>
        <v>0</v>
      </c>
      <c r="I1112" s="244">
        <f>ROUND($G1112*H1112,2)</f>
        <v>0</v>
      </c>
    </row>
    <row r="1113" spans="2:9" ht="13.2">
      <c r="B1113" s="367" t="s">
        <v>320</v>
      </c>
      <c r="C1113" s="60" t="s">
        <v>198</v>
      </c>
      <c r="D1113" s="60"/>
      <c r="E1113" s="152" t="s">
        <v>75</v>
      </c>
      <c r="F1113" s="153" t="s">
        <v>13</v>
      </c>
      <c r="G1113" s="235" t="s">
        <v>13</v>
      </c>
      <c r="H1113" s="65" t="s">
        <v>13</v>
      </c>
      <c r="I1113" s="65" t="s">
        <v>13</v>
      </c>
    </row>
    <row r="1114" spans="2:9" ht="13.2">
      <c r="B1114" s="368" t="s">
        <v>321</v>
      </c>
      <c r="C1114" s="83"/>
      <c r="D1114" s="66"/>
      <c r="E1114" s="141" t="s">
        <v>164</v>
      </c>
      <c r="F1114" s="137" t="s">
        <v>16</v>
      </c>
      <c r="G1114" s="68">
        <v>195</v>
      </c>
      <c r="H1114" s="69">
        <f t="shared" si="113"/>
        <v>0</v>
      </c>
      <c r="I1114" s="244">
        <f>ROUND($G1114*H1114,2)</f>
        <v>0</v>
      </c>
    </row>
    <row r="1115" spans="2:9" ht="13.2">
      <c r="B1115" s="367" t="s">
        <v>325</v>
      </c>
      <c r="C1115" s="191" t="s">
        <v>428</v>
      </c>
      <c r="D1115" s="191"/>
      <c r="E1115" s="177" t="s">
        <v>429</v>
      </c>
      <c r="F1115" s="153" t="s">
        <v>13</v>
      </c>
      <c r="G1115" s="235" t="s">
        <v>13</v>
      </c>
      <c r="H1115" s="65" t="s">
        <v>13</v>
      </c>
      <c r="I1115" s="65" t="s">
        <v>13</v>
      </c>
    </row>
    <row r="1116" spans="2:9" ht="13.2">
      <c r="B1116" s="368" t="s">
        <v>326</v>
      </c>
      <c r="C1116" s="219"/>
      <c r="D1116" s="219"/>
      <c r="E1116" s="178" t="s">
        <v>430</v>
      </c>
      <c r="F1116" s="146" t="s">
        <v>4</v>
      </c>
      <c r="G1116" s="68">
        <v>20</v>
      </c>
      <c r="H1116" s="69">
        <f t="shared" si="113"/>
        <v>0</v>
      </c>
      <c r="I1116" s="244">
        <f>ROUND($G1116*H1116,2)</f>
        <v>0</v>
      </c>
    </row>
    <row r="1117" spans="2:9" ht="13.2">
      <c r="B1117" s="368" t="s">
        <v>327</v>
      </c>
      <c r="C1117" s="219"/>
      <c r="D1117" s="219"/>
      <c r="E1117" s="178" t="s">
        <v>431</v>
      </c>
      <c r="F1117" s="146" t="s">
        <v>3</v>
      </c>
      <c r="G1117" s="68">
        <v>14</v>
      </c>
      <c r="H1117" s="69">
        <f t="shared" si="113"/>
        <v>0</v>
      </c>
      <c r="I1117" s="244">
        <f>ROUND($G1117*H1117,2)</f>
        <v>0</v>
      </c>
    </row>
    <row r="1118" spans="2:9" ht="13.2">
      <c r="B1118" s="367" t="s">
        <v>361</v>
      </c>
      <c r="C1118" s="60" t="s">
        <v>199</v>
      </c>
      <c r="D1118" s="60"/>
      <c r="E1118" s="152" t="s">
        <v>110</v>
      </c>
      <c r="F1118" s="151" t="s">
        <v>13</v>
      </c>
      <c r="G1118" s="245" t="s">
        <v>13</v>
      </c>
      <c r="H1118" s="65" t="s">
        <v>13</v>
      </c>
      <c r="I1118" s="65" t="s">
        <v>13</v>
      </c>
    </row>
    <row r="1119" spans="2:9" ht="22.8">
      <c r="B1119" s="370" t="s">
        <v>328</v>
      </c>
      <c r="C1119" s="66"/>
      <c r="D1119" s="82"/>
      <c r="E1119" s="155" t="s">
        <v>126</v>
      </c>
      <c r="F1119" s="81" t="s">
        <v>16</v>
      </c>
      <c r="G1119" s="225">
        <v>110</v>
      </c>
      <c r="H1119" s="69">
        <f t="shared" si="113"/>
        <v>0</v>
      </c>
      <c r="I1119" s="244">
        <f>ROUND($G1119*H1119,2)</f>
        <v>0</v>
      </c>
    </row>
    <row r="1120" spans="2:9" ht="22.8">
      <c r="B1120" s="370" t="s">
        <v>432</v>
      </c>
      <c r="C1120" s="66"/>
      <c r="D1120" s="157"/>
      <c r="E1120" s="156" t="s">
        <v>143</v>
      </c>
      <c r="F1120" s="81" t="s">
        <v>17</v>
      </c>
      <c r="G1120" s="225">
        <v>35</v>
      </c>
      <c r="H1120" s="69">
        <f t="shared" si="113"/>
        <v>0</v>
      </c>
      <c r="I1120" s="244">
        <f>ROUND($G1120*H1120,2)</f>
        <v>0</v>
      </c>
    </row>
    <row r="1121" spans="2:9" ht="13.2">
      <c r="B1121" s="370" t="s">
        <v>433</v>
      </c>
      <c r="C1121" s="66" t="s">
        <v>576</v>
      </c>
      <c r="D1121" s="157"/>
      <c r="E1121" s="158" t="s">
        <v>577</v>
      </c>
      <c r="F1121" s="128" t="s">
        <v>13</v>
      </c>
      <c r="G1121" s="240" t="s">
        <v>13</v>
      </c>
      <c r="H1121" s="65" t="s">
        <v>13</v>
      </c>
      <c r="I1121" s="65" t="s">
        <v>13</v>
      </c>
    </row>
    <row r="1122" spans="2:9" ht="22.8">
      <c r="B1122" s="370" t="s">
        <v>434</v>
      </c>
      <c r="C1122" s="83"/>
      <c r="D1122" s="159"/>
      <c r="E1122" s="158" t="s">
        <v>578</v>
      </c>
      <c r="F1122" s="81" t="s">
        <v>348</v>
      </c>
      <c r="G1122" s="225">
        <v>295</v>
      </c>
      <c r="H1122" s="69">
        <f t="shared" si="113"/>
        <v>0</v>
      </c>
      <c r="I1122" s="244">
        <f>ROUND($G1122*H1122,2)</f>
        <v>0</v>
      </c>
    </row>
    <row r="1123" spans="2:9" ht="13.2">
      <c r="B1123" s="369"/>
      <c r="C1123" s="12"/>
      <c r="D1123" s="25"/>
      <c r="E1123" s="14" t="s">
        <v>77</v>
      </c>
      <c r="F1123" s="13"/>
      <c r="G1123" s="96"/>
      <c r="H1123" s="194" t="s">
        <v>13</v>
      </c>
      <c r="I1123" s="34" t="s">
        <v>13</v>
      </c>
    </row>
    <row r="1124" spans="2:9" ht="13.8">
      <c r="B1124" s="367"/>
      <c r="C1124" s="571" t="s">
        <v>332</v>
      </c>
      <c r="D1124" s="572"/>
      <c r="E1124" s="573"/>
      <c r="F1124" s="7"/>
      <c r="G1124" s="161"/>
      <c r="H1124" s="33" t="s">
        <v>13</v>
      </c>
      <c r="I1124" s="10">
        <f>SUM(I1038:I1122)</f>
        <v>0</v>
      </c>
    </row>
    <row r="1125" spans="2:9" ht="26.4">
      <c r="B1125" s="410" t="s">
        <v>334</v>
      </c>
      <c r="C1125" s="558" t="s">
        <v>579</v>
      </c>
      <c r="D1125" s="559"/>
      <c r="E1125" s="560"/>
      <c r="F1125" s="560"/>
      <c r="G1125" s="560"/>
      <c r="H1125" s="560"/>
      <c r="I1125" s="561"/>
    </row>
    <row r="1126" spans="2:9" ht="24">
      <c r="B1126" s="371" t="s">
        <v>0</v>
      </c>
      <c r="C1126" s="404" t="s">
        <v>210</v>
      </c>
      <c r="D1126" s="404" t="s">
        <v>333</v>
      </c>
      <c r="E1126" s="405" t="s">
        <v>203</v>
      </c>
      <c r="F1126" s="310" t="s">
        <v>204</v>
      </c>
      <c r="G1126" s="405" t="s">
        <v>1</v>
      </c>
      <c r="H1126" s="41" t="s">
        <v>111</v>
      </c>
      <c r="I1126" s="406" t="s">
        <v>112</v>
      </c>
    </row>
    <row r="1127" spans="2:9" ht="13.2">
      <c r="B1127" s="367" t="s">
        <v>247</v>
      </c>
      <c r="C1127" s="375" t="s">
        <v>171</v>
      </c>
      <c r="D1127" s="374"/>
      <c r="E1127" s="376" t="s">
        <v>14</v>
      </c>
      <c r="F1127" s="377"/>
      <c r="G1127" s="411"/>
      <c r="H1127" s="379"/>
      <c r="I1127" s="380"/>
    </row>
    <row r="1128" spans="2:9" ht="13.2">
      <c r="B1128" s="367"/>
      <c r="C1128" s="415"/>
      <c r="D1128" s="416"/>
      <c r="E1128" s="417" t="s">
        <v>437</v>
      </c>
      <c r="F1128" s="418"/>
      <c r="G1128" s="419"/>
      <c r="H1128" s="420"/>
      <c r="I1128" s="421"/>
    </row>
    <row r="1129" spans="2:9" ht="22.8">
      <c r="B1129" s="368" t="s">
        <v>249</v>
      </c>
      <c r="C1129" s="66"/>
      <c r="D1129" s="66"/>
      <c r="E1129" s="67" t="s">
        <v>160</v>
      </c>
      <c r="F1129" s="62" t="s">
        <v>17</v>
      </c>
      <c r="G1129" s="225">
        <f>1.07*12.6*2</f>
        <v>26.96</v>
      </c>
      <c r="H1129" s="186">
        <f t="shared" ref="H1129:H1190" si="114">L1129*$K$5</f>
        <v>0</v>
      </c>
      <c r="I1129" s="70">
        <f>ROUND($G1129*H1129,2)</f>
        <v>0</v>
      </c>
    </row>
    <row r="1130" spans="2:9" ht="13.2">
      <c r="B1130" s="367" t="s">
        <v>250</v>
      </c>
      <c r="C1130" s="375" t="s">
        <v>172</v>
      </c>
      <c r="D1130" s="374"/>
      <c r="E1130" s="376" t="s">
        <v>20</v>
      </c>
      <c r="F1130" s="377"/>
      <c r="G1130" s="422"/>
      <c r="H1130" s="382"/>
      <c r="I1130" s="396"/>
    </row>
    <row r="1131" spans="2:9" ht="24">
      <c r="B1131" s="367"/>
      <c r="C1131" s="71"/>
      <c r="D1131" s="72"/>
      <c r="E1131" s="73" t="s">
        <v>241</v>
      </c>
      <c r="F1131" s="30"/>
      <c r="G1131" s="247"/>
      <c r="H1131" s="184"/>
      <c r="I1131" s="32"/>
    </row>
    <row r="1132" spans="2:9" ht="13.2">
      <c r="B1132" s="367" t="s">
        <v>251</v>
      </c>
      <c r="C1132" s="74" t="s">
        <v>173</v>
      </c>
      <c r="D1132" s="75"/>
      <c r="E1132" s="76" t="s">
        <v>115</v>
      </c>
      <c r="F1132" s="62" t="s">
        <v>13</v>
      </c>
      <c r="G1132" s="63" t="s">
        <v>13</v>
      </c>
      <c r="H1132" s="189" t="s">
        <v>13</v>
      </c>
      <c r="I1132" s="65" t="s">
        <v>13</v>
      </c>
    </row>
    <row r="1133" spans="2:9" ht="13.2">
      <c r="B1133" s="369"/>
      <c r="C1133" s="77"/>
      <c r="D1133" s="78"/>
      <c r="E1133" s="79" t="s">
        <v>117</v>
      </c>
      <c r="F1133" s="62" t="s">
        <v>13</v>
      </c>
      <c r="G1133" s="63" t="s">
        <v>13</v>
      </c>
      <c r="H1133" s="69" t="s">
        <v>13</v>
      </c>
      <c r="I1133" s="65" t="s">
        <v>13</v>
      </c>
    </row>
    <row r="1134" spans="2:9" ht="13.2">
      <c r="B1134" s="368" t="s">
        <v>252</v>
      </c>
      <c r="C1134" s="77"/>
      <c r="D1134" s="78"/>
      <c r="E1134" s="80" t="s">
        <v>134</v>
      </c>
      <c r="F1134" s="81" t="s">
        <v>23</v>
      </c>
      <c r="G1134" s="225">
        <f>31538+37949+4*823</f>
        <v>72779</v>
      </c>
      <c r="H1134" s="69">
        <f t="shared" si="114"/>
        <v>0</v>
      </c>
      <c r="I1134" s="70">
        <f>ROUND($G1134*H1134,2)</f>
        <v>0</v>
      </c>
    </row>
    <row r="1135" spans="2:9" ht="13.2">
      <c r="B1135" s="368" t="s">
        <v>253</v>
      </c>
      <c r="C1135" s="66"/>
      <c r="D1135" s="82"/>
      <c r="E1135" s="80" t="s">
        <v>163</v>
      </c>
      <c r="F1135" s="81" t="s">
        <v>23</v>
      </c>
      <c r="G1135" s="225">
        <f>253+197+197+253</f>
        <v>900</v>
      </c>
      <c r="H1135" s="69">
        <f t="shared" si="114"/>
        <v>0</v>
      </c>
      <c r="I1135" s="70">
        <f>ROUND($G1135*H1135,2)</f>
        <v>0</v>
      </c>
    </row>
    <row r="1136" spans="2:9" ht="13.2">
      <c r="B1136" s="368" t="s">
        <v>254</v>
      </c>
      <c r="C1136" s="66"/>
      <c r="D1136" s="82"/>
      <c r="E1136" s="80" t="s">
        <v>118</v>
      </c>
      <c r="F1136" s="81" t="s">
        <v>23</v>
      </c>
      <c r="G1136" s="225">
        <f>1390</f>
        <v>1390</v>
      </c>
      <c r="H1136" s="69">
        <f t="shared" si="114"/>
        <v>0</v>
      </c>
      <c r="I1136" s="70">
        <f>ROUND($G1136*H1136,2)</f>
        <v>0</v>
      </c>
    </row>
    <row r="1137" spans="2:9" ht="13.2">
      <c r="B1137" s="368" t="s">
        <v>255</v>
      </c>
      <c r="C1137" s="83"/>
      <c r="D1137" s="84"/>
      <c r="E1137" s="80" t="s">
        <v>205</v>
      </c>
      <c r="F1137" s="81" t="s">
        <v>3</v>
      </c>
      <c r="G1137" s="248">
        <v>24</v>
      </c>
      <c r="H1137" s="186">
        <f t="shared" si="114"/>
        <v>0</v>
      </c>
      <c r="I1137" s="70">
        <f>ROUND($G1137*H1137,2)</f>
        <v>0</v>
      </c>
    </row>
    <row r="1138" spans="2:9" ht="13.2">
      <c r="B1138" s="369"/>
      <c r="C1138" s="83"/>
      <c r="D1138" s="84"/>
      <c r="E1138" s="87" t="s">
        <v>26</v>
      </c>
      <c r="F1138" s="81" t="s">
        <v>153</v>
      </c>
      <c r="G1138" s="226"/>
      <c r="H1138" s="184"/>
      <c r="I1138" s="317" t="s">
        <v>13</v>
      </c>
    </row>
    <row r="1139" spans="2:9" ht="13.2">
      <c r="B1139" s="367" t="s">
        <v>256</v>
      </c>
      <c r="C1139" s="375" t="s">
        <v>174</v>
      </c>
      <c r="D1139" s="374"/>
      <c r="E1139" s="376" t="s">
        <v>27</v>
      </c>
      <c r="F1139" s="377"/>
      <c r="G1139" s="422"/>
      <c r="H1139" s="382"/>
      <c r="I1139" s="396"/>
    </row>
    <row r="1140" spans="2:9" ht="24">
      <c r="B1140" s="367"/>
      <c r="C1140" s="71"/>
      <c r="D1140" s="72"/>
      <c r="E1140" s="73" t="s">
        <v>241</v>
      </c>
      <c r="F1140" s="30"/>
      <c r="G1140" s="247"/>
      <c r="H1140" s="184"/>
      <c r="I1140" s="32"/>
    </row>
    <row r="1141" spans="2:9" ht="13.2">
      <c r="B1141" s="367" t="s">
        <v>257</v>
      </c>
      <c r="C1141" s="74" t="s">
        <v>175</v>
      </c>
      <c r="D1141" s="75"/>
      <c r="E1141" s="76" t="s">
        <v>29</v>
      </c>
      <c r="F1141" s="62" t="s">
        <v>13</v>
      </c>
      <c r="G1141" s="62" t="s">
        <v>13</v>
      </c>
      <c r="H1141" s="189" t="s">
        <v>13</v>
      </c>
      <c r="I1141" s="65" t="s">
        <v>13</v>
      </c>
    </row>
    <row r="1142" spans="2:9" ht="22.8">
      <c r="B1142" s="368" t="s">
        <v>258</v>
      </c>
      <c r="C1142" s="88"/>
      <c r="D1142" s="89"/>
      <c r="E1142" s="76" t="s">
        <v>135</v>
      </c>
      <c r="F1142" s="62" t="s">
        <v>17</v>
      </c>
      <c r="G1142" s="225">
        <f>135.4</f>
        <v>135.4</v>
      </c>
      <c r="H1142" s="69">
        <f t="shared" si="114"/>
        <v>0</v>
      </c>
      <c r="I1142" s="70">
        <f>ROUND($G1142*H1142,2)</f>
        <v>0</v>
      </c>
    </row>
    <row r="1143" spans="2:9" ht="13.2">
      <c r="B1143" s="367" t="s">
        <v>259</v>
      </c>
      <c r="C1143" s="66" t="s">
        <v>176</v>
      </c>
      <c r="D1143" s="66"/>
      <c r="E1143" s="90" t="s">
        <v>31</v>
      </c>
      <c r="F1143" s="81" t="s">
        <v>13</v>
      </c>
      <c r="G1143" s="81" t="s">
        <v>13</v>
      </c>
      <c r="H1143" s="69" t="s">
        <v>13</v>
      </c>
      <c r="I1143" s="65" t="s">
        <v>13</v>
      </c>
    </row>
    <row r="1144" spans="2:9" ht="13.2">
      <c r="B1144" s="368" t="s">
        <v>260</v>
      </c>
      <c r="C1144" s="66"/>
      <c r="D1144" s="66"/>
      <c r="E1144" s="67" t="s">
        <v>165</v>
      </c>
      <c r="F1144" s="62" t="s">
        <v>17</v>
      </c>
      <c r="G1144" s="225">
        <f>4.3+3.3+3.3+4.3</f>
        <v>15.2</v>
      </c>
      <c r="H1144" s="69">
        <f t="shared" si="114"/>
        <v>0</v>
      </c>
      <c r="I1144" s="70">
        <f>ROUND($G1144*H1144,2)</f>
        <v>0</v>
      </c>
    </row>
    <row r="1145" spans="2:9" ht="13.2">
      <c r="B1145" s="367" t="s">
        <v>261</v>
      </c>
      <c r="C1145" s="66" t="s">
        <v>177</v>
      </c>
      <c r="D1145" s="66"/>
      <c r="E1145" s="90" t="s">
        <v>129</v>
      </c>
      <c r="F1145" s="81" t="s">
        <v>13</v>
      </c>
      <c r="G1145" s="81" t="s">
        <v>13</v>
      </c>
      <c r="H1145" s="69" t="s">
        <v>13</v>
      </c>
      <c r="I1145" s="49" t="s">
        <v>13</v>
      </c>
    </row>
    <row r="1146" spans="2:9" ht="22.8">
      <c r="B1146" s="368" t="s">
        <v>262</v>
      </c>
      <c r="C1146" s="66"/>
      <c r="D1146" s="66"/>
      <c r="E1146" s="67" t="s">
        <v>136</v>
      </c>
      <c r="F1146" s="62" t="s">
        <v>17</v>
      </c>
      <c r="G1146" s="225">
        <v>98</v>
      </c>
      <c r="H1146" s="69">
        <f t="shared" si="114"/>
        <v>0</v>
      </c>
      <c r="I1146" s="70">
        <f>ROUND($G1146*H1146,2)</f>
        <v>0</v>
      </c>
    </row>
    <row r="1147" spans="2:9" ht="13.2">
      <c r="B1147" s="367" t="s">
        <v>263</v>
      </c>
      <c r="C1147" s="74" t="s">
        <v>178</v>
      </c>
      <c r="D1147" s="74"/>
      <c r="E1147" s="90" t="s">
        <v>34</v>
      </c>
      <c r="F1147" s="62" t="s">
        <v>13</v>
      </c>
      <c r="G1147" s="62" t="s">
        <v>13</v>
      </c>
      <c r="H1147" s="69" t="s">
        <v>13</v>
      </c>
      <c r="I1147" s="65" t="s">
        <v>13</v>
      </c>
    </row>
    <row r="1148" spans="2:9" ht="22.8">
      <c r="B1148" s="368" t="s">
        <v>264</v>
      </c>
      <c r="C1148" s="91"/>
      <c r="D1148" s="91"/>
      <c r="E1148" s="92" t="s">
        <v>146</v>
      </c>
      <c r="F1148" s="62" t="s">
        <v>17</v>
      </c>
      <c r="G1148" s="225">
        <v>8</v>
      </c>
      <c r="H1148" s="69">
        <f t="shared" si="114"/>
        <v>0</v>
      </c>
      <c r="I1148" s="70">
        <f>ROUND($G1148*H1148,2)</f>
        <v>0</v>
      </c>
    </row>
    <row r="1149" spans="2:9" ht="13.2">
      <c r="B1149" s="367" t="s">
        <v>265</v>
      </c>
      <c r="C1149" s="60" t="s">
        <v>179</v>
      </c>
      <c r="D1149" s="60"/>
      <c r="E1149" s="90" t="s">
        <v>130</v>
      </c>
      <c r="F1149" s="62" t="s">
        <v>13</v>
      </c>
      <c r="G1149" s="62" t="s">
        <v>13</v>
      </c>
      <c r="H1149" s="69" t="s">
        <v>13</v>
      </c>
      <c r="I1149" s="65" t="s">
        <v>13</v>
      </c>
    </row>
    <row r="1150" spans="2:9" ht="22.8">
      <c r="B1150" s="368" t="s">
        <v>266</v>
      </c>
      <c r="C1150" s="83"/>
      <c r="D1150" s="83"/>
      <c r="E1150" s="90" t="s">
        <v>137</v>
      </c>
      <c r="F1150" s="62" t="s">
        <v>17</v>
      </c>
      <c r="G1150" s="93">
        <v>102</v>
      </c>
      <c r="H1150" s="69">
        <f t="shared" si="114"/>
        <v>0</v>
      </c>
      <c r="I1150" s="70">
        <f>ROUND($G1150*H1150,2)</f>
        <v>0</v>
      </c>
    </row>
    <row r="1151" spans="2:9" ht="13.2">
      <c r="B1151" s="367" t="s">
        <v>267</v>
      </c>
      <c r="C1151" s="60" t="s">
        <v>180</v>
      </c>
      <c r="D1151" s="60"/>
      <c r="E1151" s="90" t="s">
        <v>119</v>
      </c>
      <c r="F1151" s="81" t="s">
        <v>13</v>
      </c>
      <c r="G1151" s="81" t="s">
        <v>13</v>
      </c>
      <c r="H1151" s="69" t="s">
        <v>13</v>
      </c>
      <c r="I1151" s="65" t="s">
        <v>13</v>
      </c>
    </row>
    <row r="1152" spans="2:9" ht="22.8">
      <c r="B1152" s="368" t="s">
        <v>268</v>
      </c>
      <c r="C1152" s="83"/>
      <c r="D1152" s="83"/>
      <c r="E1152" s="92" t="s">
        <v>138</v>
      </c>
      <c r="F1152" s="94" t="s">
        <v>363</v>
      </c>
      <c r="G1152" s="225">
        <f>2*6.7</f>
        <v>13.4</v>
      </c>
      <c r="H1152" s="69">
        <f t="shared" si="114"/>
        <v>0</v>
      </c>
      <c r="I1152" s="70">
        <f>ROUND($G1152*H1152,2)</f>
        <v>0</v>
      </c>
    </row>
    <row r="1153" spans="2:9" ht="13.2">
      <c r="B1153" s="369"/>
      <c r="C1153" s="62"/>
      <c r="D1153" s="95"/>
      <c r="E1153" s="87" t="s">
        <v>39</v>
      </c>
      <c r="F1153" s="62" t="s">
        <v>153</v>
      </c>
      <c r="G1153" s="96"/>
      <c r="H1153"/>
      <c r="I1153" s="182" t="s">
        <v>13</v>
      </c>
    </row>
    <row r="1154" spans="2:9" ht="13.2">
      <c r="B1154" s="367" t="s">
        <v>269</v>
      </c>
      <c r="C1154" s="74" t="s">
        <v>181</v>
      </c>
      <c r="D1154" s="75"/>
      <c r="E1154" s="97" t="s">
        <v>139</v>
      </c>
      <c r="F1154" s="62" t="s">
        <v>13</v>
      </c>
      <c r="G1154" s="62" t="s">
        <v>13</v>
      </c>
      <c r="H1154" s="69" t="s">
        <v>13</v>
      </c>
      <c r="I1154" s="65" t="s">
        <v>13</v>
      </c>
    </row>
    <row r="1155" spans="2:9" ht="22.8">
      <c r="B1155" s="368" t="s">
        <v>270</v>
      </c>
      <c r="C1155" s="98"/>
      <c r="D1155" s="99"/>
      <c r="E1155" s="100" t="s">
        <v>140</v>
      </c>
      <c r="F1155" s="62" t="s">
        <v>17</v>
      </c>
      <c r="G1155" s="225">
        <f>23</f>
        <v>23</v>
      </c>
      <c r="H1155" s="69">
        <f t="shared" si="114"/>
        <v>0</v>
      </c>
      <c r="I1155" s="70">
        <f>ROUND($G1155*H1155,2)</f>
        <v>0</v>
      </c>
    </row>
    <row r="1156" spans="2:9" ht="22.8">
      <c r="B1156" s="368" t="s">
        <v>271</v>
      </c>
      <c r="C1156" s="103"/>
      <c r="D1156" s="104"/>
      <c r="E1156" s="100" t="s">
        <v>141</v>
      </c>
      <c r="F1156" s="62" t="s">
        <v>17</v>
      </c>
      <c r="G1156" s="225">
        <f>0.08*(11.9+11.9)</f>
        <v>1.9</v>
      </c>
      <c r="H1156" s="186">
        <f t="shared" si="114"/>
        <v>0</v>
      </c>
      <c r="I1156" s="70">
        <f>ROUND($G1156*H1156,2)</f>
        <v>0</v>
      </c>
    </row>
    <row r="1157" spans="2:9" ht="13.2">
      <c r="B1157" s="369"/>
      <c r="C1157" s="103"/>
      <c r="D1157" s="104"/>
      <c r="E1157" s="87" t="s">
        <v>43</v>
      </c>
      <c r="F1157" s="62" t="s">
        <v>153</v>
      </c>
      <c r="G1157" s="229"/>
      <c r="H1157" s="184"/>
      <c r="I1157" s="317" t="s">
        <v>13</v>
      </c>
    </row>
    <row r="1158" spans="2:9" ht="13.2">
      <c r="B1158" s="367" t="s">
        <v>272</v>
      </c>
      <c r="C1158" s="375" t="s">
        <v>200</v>
      </c>
      <c r="D1158" s="374"/>
      <c r="E1158" s="376" t="s">
        <v>44</v>
      </c>
      <c r="F1158" s="377"/>
      <c r="G1158" s="423"/>
      <c r="H1158" s="382"/>
      <c r="I1158" s="396"/>
    </row>
    <row r="1159" spans="2:9" ht="24">
      <c r="B1159" s="367"/>
      <c r="C1159" s="71"/>
      <c r="D1159" s="72"/>
      <c r="E1159" s="73" t="s">
        <v>241</v>
      </c>
      <c r="F1159" s="30"/>
      <c r="G1159" s="249"/>
      <c r="H1159" s="184"/>
      <c r="I1159" s="32"/>
    </row>
    <row r="1160" spans="2:9" ht="13.2">
      <c r="B1160" s="367" t="s">
        <v>273</v>
      </c>
      <c r="C1160" s="74" t="s">
        <v>167</v>
      </c>
      <c r="D1160" s="74"/>
      <c r="E1160" s="90" t="s">
        <v>132</v>
      </c>
      <c r="F1160" s="62" t="s">
        <v>13</v>
      </c>
      <c r="G1160" s="81" t="s">
        <v>13</v>
      </c>
      <c r="H1160" s="189" t="s">
        <v>13</v>
      </c>
      <c r="I1160" s="65" t="s">
        <v>13</v>
      </c>
    </row>
    <row r="1161" spans="2:9" ht="22.8">
      <c r="B1161" s="368" t="s">
        <v>330</v>
      </c>
      <c r="C1161" s="106"/>
      <c r="D1161" s="106"/>
      <c r="E1161" s="67" t="s">
        <v>159</v>
      </c>
      <c r="F1161" s="62" t="s">
        <v>23</v>
      </c>
      <c r="G1161" s="225">
        <f>358</f>
        <v>358</v>
      </c>
      <c r="H1161" s="69">
        <f t="shared" si="114"/>
        <v>0</v>
      </c>
      <c r="I1161" s="70">
        <f>ROUND($G1161*H1161,2)</f>
        <v>0</v>
      </c>
    </row>
    <row r="1162" spans="2:9" ht="22.8">
      <c r="B1162" s="368" t="s">
        <v>454</v>
      </c>
      <c r="C1162" s="74" t="s">
        <v>355</v>
      </c>
      <c r="D1162" s="74"/>
      <c r="E1162" s="110" t="s">
        <v>357</v>
      </c>
      <c r="F1162" s="250" t="s">
        <v>13</v>
      </c>
      <c r="G1162" s="251" t="s">
        <v>13</v>
      </c>
      <c r="H1162" s="69" t="s">
        <v>13</v>
      </c>
      <c r="I1162" s="49" t="s">
        <v>13</v>
      </c>
    </row>
    <row r="1163" spans="2:9" ht="22.8">
      <c r="B1163" s="368" t="s">
        <v>274</v>
      </c>
      <c r="C1163" s="101"/>
      <c r="D1163" s="101"/>
      <c r="E1163" s="90" t="s">
        <v>154</v>
      </c>
      <c r="F1163" s="94" t="s">
        <v>580</v>
      </c>
      <c r="G1163" s="225">
        <f>(30*2+23*2)*1.4</f>
        <v>148.4</v>
      </c>
      <c r="H1163" s="69">
        <f t="shared" si="114"/>
        <v>0</v>
      </c>
      <c r="I1163" s="70">
        <f>ROUND($G1163*H1163,2)</f>
        <v>0</v>
      </c>
    </row>
    <row r="1164" spans="2:9" ht="13.2">
      <c r="B1164" s="369"/>
      <c r="C1164" s="12"/>
      <c r="D1164" s="25"/>
      <c r="E1164" s="87" t="s">
        <v>46</v>
      </c>
      <c r="F1164" s="13" t="s">
        <v>153</v>
      </c>
      <c r="G1164" s="96"/>
      <c r="H1164"/>
      <c r="I1164" s="182" t="s">
        <v>13</v>
      </c>
    </row>
    <row r="1165" spans="2:9" ht="13.2">
      <c r="B1165" s="367" t="s">
        <v>275</v>
      </c>
      <c r="C1165" s="375" t="s">
        <v>201</v>
      </c>
      <c r="D1165" s="374"/>
      <c r="E1165" s="407" t="s">
        <v>380</v>
      </c>
      <c r="F1165" s="377"/>
      <c r="G1165" s="422"/>
      <c r="H1165" s="380"/>
      <c r="I1165" s="380"/>
    </row>
    <row r="1166" spans="2:9" ht="24">
      <c r="B1166" s="367"/>
      <c r="C1166" s="71"/>
      <c r="D1166" s="72"/>
      <c r="E1166" s="73" t="s">
        <v>241</v>
      </c>
      <c r="F1166" s="30"/>
      <c r="G1166" s="249"/>
      <c r="H1166" s="32"/>
      <c r="I1166" s="32"/>
    </row>
    <row r="1167" spans="2:9" ht="13.2">
      <c r="B1167" s="367" t="s">
        <v>276</v>
      </c>
      <c r="C1167" s="60" t="s">
        <v>182</v>
      </c>
      <c r="D1167" s="60"/>
      <c r="E1167" s="90" t="s">
        <v>49</v>
      </c>
      <c r="F1167" s="62" t="s">
        <v>13</v>
      </c>
      <c r="G1167" s="62" t="s">
        <v>13</v>
      </c>
      <c r="H1167" s="81" t="s">
        <v>13</v>
      </c>
      <c r="I1167" s="65" t="s">
        <v>13</v>
      </c>
    </row>
    <row r="1168" spans="2:9" ht="34.200000000000003">
      <c r="B1168" s="368" t="s">
        <v>277</v>
      </c>
      <c r="C1168" s="66"/>
      <c r="D1168" s="66"/>
      <c r="E1168" s="110" t="s">
        <v>207</v>
      </c>
      <c r="F1168" s="62" t="s">
        <v>15</v>
      </c>
      <c r="G1168" s="225">
        <v>505</v>
      </c>
      <c r="H1168" s="69">
        <f t="shared" si="114"/>
        <v>0</v>
      </c>
      <c r="I1168" s="70">
        <f>ROUND($G1168*H1168,2)</f>
        <v>0</v>
      </c>
    </row>
    <row r="1169" spans="2:9" ht="45.6">
      <c r="B1169" s="368" t="s">
        <v>278</v>
      </c>
      <c r="C1169" s="83"/>
      <c r="D1169" s="83"/>
      <c r="E1169" s="92" t="s">
        <v>149</v>
      </c>
      <c r="F1169" s="62" t="s">
        <v>15</v>
      </c>
      <c r="G1169" s="225">
        <v>20</v>
      </c>
      <c r="H1169" s="69">
        <f t="shared" si="114"/>
        <v>0</v>
      </c>
      <c r="I1169" s="70">
        <f>ROUND($G1169*H1169,2)</f>
        <v>0</v>
      </c>
    </row>
    <row r="1170" spans="2:9" ht="13.2">
      <c r="B1170" s="367" t="s">
        <v>279</v>
      </c>
      <c r="C1170" s="74" t="s">
        <v>168</v>
      </c>
      <c r="D1170" s="74"/>
      <c r="E1170" s="90" t="s">
        <v>155</v>
      </c>
      <c r="F1170" s="81" t="s">
        <v>13</v>
      </c>
      <c r="G1170" s="81" t="s">
        <v>13</v>
      </c>
      <c r="H1170" s="81" t="s">
        <v>13</v>
      </c>
      <c r="I1170" s="65" t="s">
        <v>13</v>
      </c>
    </row>
    <row r="1171" spans="2:9" ht="22.8">
      <c r="B1171" s="368" t="s">
        <v>280</v>
      </c>
      <c r="C1171" s="103"/>
      <c r="D1171" s="103"/>
      <c r="E1171" s="110" t="s">
        <v>502</v>
      </c>
      <c r="F1171" s="62" t="s">
        <v>15</v>
      </c>
      <c r="G1171" s="225">
        <v>70</v>
      </c>
      <c r="H1171" s="69">
        <f t="shared" si="114"/>
        <v>0</v>
      </c>
      <c r="I1171" s="70">
        <f>ROUND($G1171*H1171,2)</f>
        <v>0</v>
      </c>
    </row>
    <row r="1172" spans="2:9" ht="13.2">
      <c r="B1172" s="367" t="s">
        <v>282</v>
      </c>
      <c r="C1172" s="74" t="s">
        <v>183</v>
      </c>
      <c r="D1172" s="74"/>
      <c r="E1172" s="90" t="s">
        <v>54</v>
      </c>
      <c r="F1172" s="81" t="s">
        <v>13</v>
      </c>
      <c r="G1172" s="81" t="s">
        <v>13</v>
      </c>
      <c r="H1172" s="81" t="s">
        <v>13</v>
      </c>
      <c r="I1172" s="65" t="s">
        <v>13</v>
      </c>
    </row>
    <row r="1173" spans="2:9" ht="22.8">
      <c r="B1173" s="368" t="s">
        <v>283</v>
      </c>
      <c r="C1173" s="98"/>
      <c r="D1173" s="98"/>
      <c r="E1173" s="92" t="s">
        <v>156</v>
      </c>
      <c r="F1173" s="62" t="s">
        <v>15</v>
      </c>
      <c r="G1173" s="225">
        <f>1.15*11.3*2</f>
        <v>25.99</v>
      </c>
      <c r="H1173" s="69">
        <f t="shared" si="114"/>
        <v>0</v>
      </c>
      <c r="I1173" s="70">
        <f>ROUND($G1173*H1173,2)</f>
        <v>0</v>
      </c>
    </row>
    <row r="1174" spans="2:9" ht="13.2">
      <c r="B1174" s="367" t="s">
        <v>284</v>
      </c>
      <c r="C1174" s="74" t="s">
        <v>184</v>
      </c>
      <c r="D1174" s="74"/>
      <c r="E1174" s="90" t="s">
        <v>121</v>
      </c>
      <c r="F1174" s="81" t="s">
        <v>13</v>
      </c>
      <c r="G1174" s="81" t="s">
        <v>13</v>
      </c>
      <c r="H1174" s="81" t="s">
        <v>13</v>
      </c>
      <c r="I1174" s="49" t="s">
        <v>13</v>
      </c>
    </row>
    <row r="1175" spans="2:9" ht="22.8">
      <c r="B1175" s="368" t="s">
        <v>285</v>
      </c>
      <c r="C1175" s="98"/>
      <c r="D1175" s="98"/>
      <c r="E1175" s="111" t="s">
        <v>122</v>
      </c>
      <c r="F1175" s="83" t="s">
        <v>15</v>
      </c>
      <c r="G1175" s="225">
        <f>(11.3+0.2)*11.52</f>
        <v>132.47999999999999</v>
      </c>
      <c r="H1175" s="69">
        <f t="shared" si="114"/>
        <v>0</v>
      </c>
      <c r="I1175" s="70">
        <f>ROUND($G1175*H1175,2)</f>
        <v>0</v>
      </c>
    </row>
    <row r="1176" spans="2:9" ht="13.2">
      <c r="B1176" s="367" t="s">
        <v>286</v>
      </c>
      <c r="C1176" s="74" t="s">
        <v>185</v>
      </c>
      <c r="D1176" s="74"/>
      <c r="E1176" s="90" t="s">
        <v>151</v>
      </c>
      <c r="F1176" s="81" t="s">
        <v>13</v>
      </c>
      <c r="G1176" s="81" t="s">
        <v>13</v>
      </c>
      <c r="H1176" s="81" t="s">
        <v>13</v>
      </c>
      <c r="I1176" s="65" t="s">
        <v>13</v>
      </c>
    </row>
    <row r="1177" spans="2:9" ht="22.8">
      <c r="B1177" s="368" t="s">
        <v>287</v>
      </c>
      <c r="C1177" s="98"/>
      <c r="D1177" s="98"/>
      <c r="E1177" s="90" t="s">
        <v>152</v>
      </c>
      <c r="F1177" s="83" t="s">
        <v>15</v>
      </c>
      <c r="G1177" s="225">
        <f>(10.9*2+8.5*2)*1*1.4</f>
        <v>54.32</v>
      </c>
      <c r="H1177" s="69">
        <f t="shared" si="114"/>
        <v>0</v>
      </c>
      <c r="I1177" s="70">
        <f>ROUND($G1177*H1177,2)</f>
        <v>0</v>
      </c>
    </row>
    <row r="1178" spans="2:9" ht="13.2">
      <c r="B1178" s="369"/>
      <c r="C1178" s="12"/>
      <c r="D1178" s="25"/>
      <c r="E1178" s="87" t="s">
        <v>58</v>
      </c>
      <c r="F1178" s="13" t="s">
        <v>153</v>
      </c>
      <c r="G1178" s="96"/>
      <c r="H1178" s="113"/>
      <c r="I1178" s="182" t="s">
        <v>13</v>
      </c>
    </row>
    <row r="1179" spans="2:9" ht="13.2">
      <c r="B1179" s="367" t="s">
        <v>288</v>
      </c>
      <c r="C1179" s="385" t="s">
        <v>186</v>
      </c>
      <c r="D1179" s="386"/>
      <c r="E1179" s="387" t="s">
        <v>81</v>
      </c>
      <c r="F1179" s="388"/>
      <c r="G1179" s="422"/>
      <c r="H1179" s="424"/>
      <c r="I1179" s="380"/>
    </row>
    <row r="1180" spans="2:9" ht="24">
      <c r="B1180" s="367"/>
      <c r="C1180" s="71"/>
      <c r="D1180" s="72"/>
      <c r="E1180" s="73" t="s">
        <v>241</v>
      </c>
      <c r="F1180" s="30"/>
      <c r="G1180" s="113"/>
      <c r="H1180" s="113"/>
      <c r="I1180" s="113"/>
    </row>
    <row r="1181" spans="2:9" ht="13.2">
      <c r="B1181" s="367" t="s">
        <v>289</v>
      </c>
      <c r="C1181" s="74" t="s">
        <v>187</v>
      </c>
      <c r="D1181" s="74"/>
      <c r="E1181" s="61" t="s">
        <v>360</v>
      </c>
      <c r="F1181" s="62" t="s">
        <v>13</v>
      </c>
      <c r="G1181" s="114" t="s">
        <v>13</v>
      </c>
      <c r="H1181" s="114" t="s">
        <v>13</v>
      </c>
      <c r="I1181" s="65" t="s">
        <v>13</v>
      </c>
    </row>
    <row r="1182" spans="2:9" ht="22.8">
      <c r="B1182" s="368" t="s">
        <v>290</v>
      </c>
      <c r="C1182" s="115"/>
      <c r="D1182" s="115"/>
      <c r="E1182" s="67" t="s">
        <v>84</v>
      </c>
      <c r="F1182" s="62" t="s">
        <v>4</v>
      </c>
      <c r="G1182" s="86">
        <f>(7+1.9)+(8.5+1.6)</f>
        <v>19</v>
      </c>
      <c r="H1182" s="69">
        <f t="shared" si="114"/>
        <v>0</v>
      </c>
      <c r="I1182" s="70">
        <f>ROUND($G1182*H1182,2)</f>
        <v>0</v>
      </c>
    </row>
    <row r="1183" spans="2:9" ht="22.8">
      <c r="B1183" s="368" t="s">
        <v>291</v>
      </c>
      <c r="C1183" s="115"/>
      <c r="D1183" s="115"/>
      <c r="E1183" s="116" t="s">
        <v>157</v>
      </c>
      <c r="F1183" s="62" t="s">
        <v>3</v>
      </c>
      <c r="G1183" s="225">
        <v>4</v>
      </c>
      <c r="H1183" s="69">
        <f t="shared" si="114"/>
        <v>0</v>
      </c>
      <c r="I1183" s="70">
        <f>ROUND($G1183*H1183,2)</f>
        <v>0</v>
      </c>
    </row>
    <row r="1184" spans="2:9" ht="13.2">
      <c r="B1184" s="369"/>
      <c r="C1184" s="73"/>
      <c r="D1184" s="118"/>
      <c r="E1184" s="112" t="s">
        <v>85</v>
      </c>
      <c r="F1184" s="13" t="s">
        <v>153</v>
      </c>
      <c r="G1184" s="119"/>
      <c r="H1184" s="119"/>
      <c r="I1184" s="182" t="s">
        <v>13</v>
      </c>
    </row>
    <row r="1185" spans="2:9" ht="13.2">
      <c r="B1185" s="367" t="s">
        <v>292</v>
      </c>
      <c r="C1185" s="375" t="s">
        <v>188</v>
      </c>
      <c r="D1185" s="374"/>
      <c r="E1185" s="376" t="s">
        <v>59</v>
      </c>
      <c r="F1185" s="377"/>
      <c r="G1185" s="422"/>
      <c r="H1185" s="380"/>
      <c r="I1185" s="380"/>
    </row>
    <row r="1186" spans="2:9" ht="24">
      <c r="B1186" s="367"/>
      <c r="C1186" s="71"/>
      <c r="D1186" s="72"/>
      <c r="E1186" s="73" t="s">
        <v>241</v>
      </c>
      <c r="F1186" s="30"/>
      <c r="G1186" s="249"/>
      <c r="H1186" s="32"/>
      <c r="I1186" s="32"/>
    </row>
    <row r="1187" spans="2:9" ht="13.2">
      <c r="B1187" s="367" t="s">
        <v>293</v>
      </c>
      <c r="C1187" s="120" t="s">
        <v>189</v>
      </c>
      <c r="D1187" s="121"/>
      <c r="E1187" s="122" t="s">
        <v>60</v>
      </c>
      <c r="F1187" s="62" t="s">
        <v>13</v>
      </c>
      <c r="G1187" s="62" t="s">
        <v>13</v>
      </c>
      <c r="H1187" s="62" t="s">
        <v>13</v>
      </c>
      <c r="I1187" s="65" t="s">
        <v>13</v>
      </c>
    </row>
    <row r="1188" spans="2:9" ht="57">
      <c r="B1188" s="368" t="s">
        <v>294</v>
      </c>
      <c r="C1188" s="123"/>
      <c r="D1188" s="124"/>
      <c r="E1188" s="80" t="s">
        <v>123</v>
      </c>
      <c r="F1188" s="81" t="s">
        <v>4</v>
      </c>
      <c r="G1188" s="225">
        <f>11.3</f>
        <v>11.3</v>
      </c>
      <c r="H1188" s="69">
        <f t="shared" si="114"/>
        <v>0</v>
      </c>
      <c r="I1188" s="70">
        <f>ROUND($G1188*H1188,2)</f>
        <v>0</v>
      </c>
    </row>
    <row r="1189" spans="2:9" ht="34.200000000000003">
      <c r="B1189" s="368" t="s">
        <v>295</v>
      </c>
      <c r="C1189" s="123"/>
      <c r="D1189" s="124"/>
      <c r="E1189" s="80" t="s">
        <v>124</v>
      </c>
      <c r="F1189" s="81" t="s">
        <v>4</v>
      </c>
      <c r="G1189" s="225">
        <f>6.6*2</f>
        <v>13.2</v>
      </c>
      <c r="H1189" s="69">
        <f t="shared" si="114"/>
        <v>0</v>
      </c>
      <c r="I1189" s="70">
        <f>ROUND($G1189*H1189,2)</f>
        <v>0</v>
      </c>
    </row>
    <row r="1190" spans="2:9" ht="34.200000000000003">
      <c r="B1190" s="368" t="s">
        <v>296</v>
      </c>
      <c r="C1190" s="125"/>
      <c r="D1190" s="126"/>
      <c r="E1190" s="127" t="s">
        <v>144</v>
      </c>
      <c r="F1190" s="128" t="s">
        <v>4</v>
      </c>
      <c r="G1190" s="225">
        <f>5.93*4</f>
        <v>23.72</v>
      </c>
      <c r="H1190" s="69">
        <f t="shared" si="114"/>
        <v>0</v>
      </c>
      <c r="I1190" s="70">
        <f>ROUND($G1190*H1190,2)</f>
        <v>0</v>
      </c>
    </row>
    <row r="1191" spans="2:9" ht="13.2">
      <c r="B1191" s="369"/>
      <c r="C1191" s="129"/>
      <c r="D1191" s="130"/>
      <c r="E1191" s="87" t="s">
        <v>61</v>
      </c>
      <c r="F1191" s="13" t="s">
        <v>153</v>
      </c>
      <c r="G1191" s="119"/>
      <c r="H1191" s="119"/>
      <c r="I1191" s="182" t="s">
        <v>13</v>
      </c>
    </row>
    <row r="1192" spans="2:9" ht="13.2">
      <c r="B1192" s="367" t="s">
        <v>297</v>
      </c>
      <c r="C1192" s="375" t="s">
        <v>190</v>
      </c>
      <c r="D1192" s="374"/>
      <c r="E1192" s="376" t="s">
        <v>62</v>
      </c>
      <c r="F1192" s="377"/>
      <c r="G1192" s="422"/>
      <c r="H1192" s="425"/>
      <c r="I1192" s="380"/>
    </row>
    <row r="1193" spans="2:9" ht="24">
      <c r="B1193" s="367"/>
      <c r="C1193" s="71"/>
      <c r="D1193" s="72"/>
      <c r="E1193" s="73" t="s">
        <v>241</v>
      </c>
      <c r="F1193" s="30"/>
      <c r="G1193" s="247"/>
      <c r="H1193" s="119"/>
      <c r="I1193" s="32"/>
    </row>
    <row r="1194" spans="2:9" ht="13.2">
      <c r="B1194" s="367" t="s">
        <v>298</v>
      </c>
      <c r="C1194" s="60" t="s">
        <v>191</v>
      </c>
      <c r="D1194" s="60"/>
      <c r="E1194" s="90" t="s">
        <v>244</v>
      </c>
      <c r="F1194" s="62" t="s">
        <v>13</v>
      </c>
      <c r="G1194" s="62" t="s">
        <v>13</v>
      </c>
      <c r="H1194" s="62" t="s">
        <v>13</v>
      </c>
      <c r="I1194" s="65" t="s">
        <v>13</v>
      </c>
    </row>
    <row r="1195" spans="2:9" ht="22.8">
      <c r="B1195" s="368" t="s">
        <v>299</v>
      </c>
      <c r="C1195" s="66"/>
      <c r="D1195" s="66"/>
      <c r="E1195" s="133" t="s">
        <v>245</v>
      </c>
      <c r="F1195" s="132" t="s">
        <v>23</v>
      </c>
      <c r="G1195" s="225">
        <v>461</v>
      </c>
      <c r="H1195" s="69">
        <f t="shared" ref="H1195:H1224" si="115">L1195*$K$5</f>
        <v>0</v>
      </c>
      <c r="I1195" s="70">
        <f>ROUND($G1195*H1195,2)</f>
        <v>0</v>
      </c>
    </row>
    <row r="1196" spans="2:9" ht="22.8">
      <c r="B1196" s="368" t="s">
        <v>300</v>
      </c>
      <c r="C1196" s="66"/>
      <c r="D1196" s="66"/>
      <c r="E1196" s="133" t="s">
        <v>246</v>
      </c>
      <c r="F1196" s="132" t="s">
        <v>23</v>
      </c>
      <c r="G1196" s="225">
        <f>468+362</f>
        <v>830</v>
      </c>
      <c r="H1196" s="69">
        <f t="shared" si="115"/>
        <v>0</v>
      </c>
      <c r="I1196" s="70">
        <f>ROUND($G1196*H1196,2)</f>
        <v>0</v>
      </c>
    </row>
    <row r="1197" spans="2:9" ht="13.2">
      <c r="B1197" s="369"/>
      <c r="C1197" s="12"/>
      <c r="D1197" s="25"/>
      <c r="E1197" s="87" t="s">
        <v>63</v>
      </c>
      <c r="F1197" s="13"/>
      <c r="G1197" s="134"/>
      <c r="H1197" s="134"/>
      <c r="I1197" s="182" t="s">
        <v>13</v>
      </c>
    </row>
    <row r="1198" spans="2:9" ht="13.2">
      <c r="B1198" s="367" t="s">
        <v>301</v>
      </c>
      <c r="C1198" s="375" t="s">
        <v>192</v>
      </c>
      <c r="D1198" s="374"/>
      <c r="E1198" s="376" t="s">
        <v>64</v>
      </c>
      <c r="F1198" s="377"/>
      <c r="G1198" s="422"/>
      <c r="H1198" s="426"/>
      <c r="I1198" s="380"/>
    </row>
    <row r="1199" spans="2:9" ht="24">
      <c r="B1199" s="367"/>
      <c r="C1199" s="71"/>
      <c r="D1199" s="72"/>
      <c r="E1199" s="73" t="s">
        <v>241</v>
      </c>
      <c r="F1199" s="30"/>
      <c r="G1199" s="247"/>
      <c r="H1199" s="134">
        <f t="shared" si="115"/>
        <v>0</v>
      </c>
      <c r="I1199" s="32"/>
    </row>
    <row r="1200" spans="2:9" ht="13.2">
      <c r="B1200" s="367" t="s">
        <v>302</v>
      </c>
      <c r="C1200" s="60" t="s">
        <v>193</v>
      </c>
      <c r="D1200" s="60"/>
      <c r="E1200" s="135" t="s">
        <v>66</v>
      </c>
      <c r="F1200" s="136" t="s">
        <v>13</v>
      </c>
      <c r="G1200" s="136" t="s">
        <v>13</v>
      </c>
      <c r="H1200" s="136" t="s">
        <v>13</v>
      </c>
      <c r="I1200" s="65" t="s">
        <v>13</v>
      </c>
    </row>
    <row r="1201" spans="2:9" ht="22.8">
      <c r="B1201" s="368" t="s">
        <v>303</v>
      </c>
      <c r="C1201" s="83"/>
      <c r="D1201" s="83"/>
      <c r="E1201" s="116" t="s">
        <v>158</v>
      </c>
      <c r="F1201" s="137" t="s">
        <v>16</v>
      </c>
      <c r="G1201" s="225">
        <f>6.3*13.1*2</f>
        <v>165.06</v>
      </c>
      <c r="H1201" s="69">
        <f t="shared" si="115"/>
        <v>0</v>
      </c>
      <c r="I1201" s="70">
        <f>ROUND($G1201*H1201,2)</f>
        <v>0</v>
      </c>
    </row>
    <row r="1202" spans="2:9" ht="13.2">
      <c r="B1202" s="367" t="s">
        <v>304</v>
      </c>
      <c r="C1202" s="74" t="s">
        <v>194</v>
      </c>
      <c r="D1202" s="74"/>
      <c r="E1202" s="135" t="s">
        <v>68</v>
      </c>
      <c r="F1202" s="136" t="s">
        <v>13</v>
      </c>
      <c r="G1202" s="136" t="s">
        <v>13</v>
      </c>
      <c r="H1202" s="65" t="s">
        <v>13</v>
      </c>
      <c r="I1202" s="65" t="s">
        <v>13</v>
      </c>
    </row>
    <row r="1203" spans="2:9" ht="34.799999999999997">
      <c r="B1203" s="368" t="s">
        <v>305</v>
      </c>
      <c r="C1203" s="98"/>
      <c r="D1203" s="98"/>
      <c r="E1203" s="116" t="s">
        <v>554</v>
      </c>
      <c r="F1203" s="136" t="s">
        <v>4</v>
      </c>
      <c r="G1203" s="225">
        <f>11.9+11.9</f>
        <v>23.8</v>
      </c>
      <c r="H1203" s="69">
        <f t="shared" si="115"/>
        <v>0</v>
      </c>
      <c r="I1203" s="70">
        <f>ROUND($G1203*H1203,2)</f>
        <v>0</v>
      </c>
    </row>
    <row r="1204" spans="2:9" ht="13.2">
      <c r="B1204" s="368" t="s">
        <v>306</v>
      </c>
      <c r="C1204" s="101"/>
      <c r="D1204" s="103"/>
      <c r="E1204" s="138" t="s">
        <v>133</v>
      </c>
      <c r="F1204" s="136" t="s">
        <v>3</v>
      </c>
      <c r="G1204" s="252">
        <v>2</v>
      </c>
      <c r="H1204" s="69">
        <f t="shared" si="115"/>
        <v>0</v>
      </c>
      <c r="I1204" s="70">
        <f>ROUND($G1204*H1204,2)</f>
        <v>0</v>
      </c>
    </row>
    <row r="1205" spans="2:9" ht="13.2">
      <c r="B1205" s="367" t="s">
        <v>307</v>
      </c>
      <c r="C1205" s="74" t="s">
        <v>169</v>
      </c>
      <c r="D1205" s="75"/>
      <c r="E1205" s="122" t="s">
        <v>69</v>
      </c>
      <c r="F1205" s="62" t="s">
        <v>13</v>
      </c>
      <c r="G1205" s="62" t="s">
        <v>13</v>
      </c>
      <c r="H1205" s="65" t="s">
        <v>13</v>
      </c>
      <c r="I1205" s="65" t="s">
        <v>13</v>
      </c>
    </row>
    <row r="1206" spans="2:9" ht="34.200000000000003">
      <c r="B1206" s="368" t="s">
        <v>308</v>
      </c>
      <c r="C1206" s="98"/>
      <c r="D1206" s="99"/>
      <c r="E1206" s="80" t="s">
        <v>161</v>
      </c>
      <c r="F1206" s="81" t="s">
        <v>16</v>
      </c>
      <c r="G1206" s="225">
        <f>(10.4*7.8-0.96*10.4)+8.7*8+10.3*7.4+(8.2*7.7-0.96*8.2)</f>
        <v>272.22000000000003</v>
      </c>
      <c r="H1206" s="69">
        <f t="shared" si="115"/>
        <v>0</v>
      </c>
      <c r="I1206" s="70">
        <f>ROUND($G1206*H1206,2)</f>
        <v>0</v>
      </c>
    </row>
    <row r="1207" spans="2:9" ht="22.8">
      <c r="B1207" s="368" t="s">
        <v>309</v>
      </c>
      <c r="C1207" s="98"/>
      <c r="D1207" s="99"/>
      <c r="E1207" s="80" t="s">
        <v>70</v>
      </c>
      <c r="F1207" s="62" t="s">
        <v>4</v>
      </c>
      <c r="G1207" s="225">
        <f>(8.9+1+5.8)+(10.7+5.8)+(6.7+2.6+4.5)+(10.4+5.6)</f>
        <v>62</v>
      </c>
      <c r="H1207" s="69">
        <f t="shared" si="115"/>
        <v>0</v>
      </c>
      <c r="I1207" s="70">
        <f>ROUND($G1207*H1207,2)</f>
        <v>0</v>
      </c>
    </row>
    <row r="1208" spans="2:9" ht="22.8">
      <c r="B1208" s="368" t="s">
        <v>310</v>
      </c>
      <c r="C1208" s="98"/>
      <c r="D1208" s="98"/>
      <c r="E1208" s="139" t="s">
        <v>142</v>
      </c>
      <c r="F1208" s="62" t="s">
        <v>4</v>
      </c>
      <c r="G1208" s="225">
        <f>(1.1+2.5)+6.4+(2.2+2.6)+3.6</f>
        <v>18.399999999999999</v>
      </c>
      <c r="H1208" s="69">
        <f t="shared" si="115"/>
        <v>0</v>
      </c>
      <c r="I1208" s="70">
        <f>ROUND($G1208*H1208,2)</f>
        <v>0</v>
      </c>
    </row>
    <row r="1209" spans="2:9" ht="13.2">
      <c r="B1209" s="367" t="s">
        <v>311</v>
      </c>
      <c r="C1209" s="60" t="s">
        <v>195</v>
      </c>
      <c r="D1209" s="60"/>
      <c r="E1209" s="90" t="s">
        <v>71</v>
      </c>
      <c r="F1209" s="140" t="s">
        <v>13</v>
      </c>
      <c r="G1209" s="140" t="s">
        <v>13</v>
      </c>
      <c r="H1209" s="65" t="s">
        <v>13</v>
      </c>
      <c r="I1209" s="65" t="s">
        <v>13</v>
      </c>
    </row>
    <row r="1210" spans="2:9" ht="57">
      <c r="B1210" s="368" t="s">
        <v>312</v>
      </c>
      <c r="C1210" s="66"/>
      <c r="D1210" s="66"/>
      <c r="E1210" s="141" t="s">
        <v>127</v>
      </c>
      <c r="F1210" s="137" t="s">
        <v>16</v>
      </c>
      <c r="G1210" s="225">
        <f>18.6*11.2+1.55*5.5*2+1.55*5.8*2+0.7*4</f>
        <v>246.15</v>
      </c>
      <c r="H1210" s="69">
        <f t="shared" si="115"/>
        <v>0</v>
      </c>
      <c r="I1210" s="70">
        <f>ROUND($G1210*H1210,2)</f>
        <v>0</v>
      </c>
    </row>
    <row r="1211" spans="2:9" ht="45.6">
      <c r="B1211" s="368" t="s">
        <v>313</v>
      </c>
      <c r="C1211" s="83"/>
      <c r="D1211" s="83"/>
      <c r="E1211" s="67" t="s">
        <v>125</v>
      </c>
      <c r="F1211" s="81" t="s">
        <v>16</v>
      </c>
      <c r="G1211" s="225">
        <f>(10.9*2+8.5*2)*1.66+1.92*11.3*2</f>
        <v>107.8</v>
      </c>
      <c r="H1211" s="69">
        <f t="shared" si="115"/>
        <v>0</v>
      </c>
      <c r="I1211" s="70">
        <f>ROUND($G1211*H1211,2)</f>
        <v>0</v>
      </c>
    </row>
    <row r="1212" spans="2:9" ht="13.2">
      <c r="B1212" s="367" t="s">
        <v>314</v>
      </c>
      <c r="C1212" s="60" t="s">
        <v>170</v>
      </c>
      <c r="D1212" s="60"/>
      <c r="E1212" s="61" t="s">
        <v>72</v>
      </c>
      <c r="F1212" s="81" t="s">
        <v>13</v>
      </c>
      <c r="G1212" s="143" t="s">
        <v>13</v>
      </c>
      <c r="H1212" s="65" t="s">
        <v>13</v>
      </c>
      <c r="I1212" s="65" t="s">
        <v>13</v>
      </c>
    </row>
    <row r="1213" spans="2:9" ht="34.200000000000003">
      <c r="B1213" s="368" t="s">
        <v>315</v>
      </c>
      <c r="C1213" s="66"/>
      <c r="D1213" s="66"/>
      <c r="E1213" s="144" t="s">
        <v>148</v>
      </c>
      <c r="F1213" s="81" t="s">
        <v>4</v>
      </c>
      <c r="G1213" s="225">
        <f>8.98+7.36</f>
        <v>16.34</v>
      </c>
      <c r="H1213" s="69">
        <f t="shared" si="115"/>
        <v>0</v>
      </c>
      <c r="I1213" s="70">
        <f>ROUND($G1213*H1213,2)</f>
        <v>0</v>
      </c>
    </row>
    <row r="1214" spans="2:9" ht="22.8">
      <c r="B1214" s="367" t="s">
        <v>316</v>
      </c>
      <c r="C1214" s="60" t="s">
        <v>196</v>
      </c>
      <c r="D1214" s="60"/>
      <c r="E1214" s="145" t="s">
        <v>131</v>
      </c>
      <c r="F1214" s="146" t="s">
        <v>13</v>
      </c>
      <c r="G1214" s="146" t="s">
        <v>13</v>
      </c>
      <c r="H1214" s="65" t="s">
        <v>13</v>
      </c>
      <c r="I1214" s="65" t="s">
        <v>13</v>
      </c>
    </row>
    <row r="1215" spans="2:9" ht="34.200000000000003">
      <c r="B1215" s="368" t="s">
        <v>317</v>
      </c>
      <c r="C1215" s="66"/>
      <c r="D1215" s="66"/>
      <c r="E1215" s="147" t="s">
        <v>529</v>
      </c>
      <c r="F1215" s="146" t="s">
        <v>4</v>
      </c>
      <c r="G1215" s="225">
        <f>(23+18+18+23)*0.5</f>
        <v>41</v>
      </c>
      <c r="H1215" s="69">
        <f t="shared" si="115"/>
        <v>0</v>
      </c>
      <c r="I1215" s="70">
        <f>ROUND($G1215*H1215,2)</f>
        <v>0</v>
      </c>
    </row>
    <row r="1216" spans="2:9" ht="22.8">
      <c r="B1216" s="368" t="s">
        <v>318</v>
      </c>
      <c r="C1216" s="66"/>
      <c r="D1216" s="66"/>
      <c r="E1216" s="147" t="s">
        <v>147</v>
      </c>
      <c r="F1216" s="146" t="s">
        <v>4</v>
      </c>
      <c r="G1216" s="225">
        <f>(13+12)*0.5</f>
        <v>12.5</v>
      </c>
      <c r="H1216" s="69">
        <f t="shared" si="115"/>
        <v>0</v>
      </c>
      <c r="I1216" s="70">
        <f>ROUND($G1216*H1216,2)</f>
        <v>0</v>
      </c>
    </row>
    <row r="1217" spans="2:9" ht="15.6">
      <c r="B1217" s="368" t="s">
        <v>319</v>
      </c>
      <c r="C1217" s="66"/>
      <c r="D1217" s="66"/>
      <c r="E1217" s="147" t="s">
        <v>145</v>
      </c>
      <c r="F1217" s="146" t="s">
        <v>76</v>
      </c>
      <c r="G1217" s="225">
        <f>2+2+2+1.5</f>
        <v>7.5</v>
      </c>
      <c r="H1217" s="69">
        <f t="shared" si="115"/>
        <v>0</v>
      </c>
      <c r="I1217" s="70">
        <f>ROUND($G1217*H1217,2)</f>
        <v>0</v>
      </c>
    </row>
    <row r="1218" spans="2:9" ht="22.8">
      <c r="B1218" s="367" t="s">
        <v>320</v>
      </c>
      <c r="C1218" s="74" t="s">
        <v>197</v>
      </c>
      <c r="D1218" s="74"/>
      <c r="E1218" s="148" t="s">
        <v>73</v>
      </c>
      <c r="F1218" s="81" t="s">
        <v>13</v>
      </c>
      <c r="G1218" s="81" t="s">
        <v>13</v>
      </c>
      <c r="H1218" s="65" t="s">
        <v>13</v>
      </c>
      <c r="I1218" s="65" t="s">
        <v>13</v>
      </c>
    </row>
    <row r="1219" spans="2:9" ht="13.2">
      <c r="B1219" s="368" t="s">
        <v>321</v>
      </c>
      <c r="C1219" s="98"/>
      <c r="D1219" s="98"/>
      <c r="E1219" s="149" t="s">
        <v>74</v>
      </c>
      <c r="F1219" s="136" t="s">
        <v>3</v>
      </c>
      <c r="G1219" s="225">
        <v>2</v>
      </c>
      <c r="H1219" s="69">
        <f t="shared" si="115"/>
        <v>0</v>
      </c>
      <c r="I1219" s="70">
        <f>ROUND($G1219*H1219,2)</f>
        <v>0</v>
      </c>
    </row>
    <row r="1220" spans="2:9" ht="22.8">
      <c r="B1220" s="368" t="s">
        <v>322</v>
      </c>
      <c r="C1220" s="101"/>
      <c r="D1220" s="101"/>
      <c r="E1220" s="150" t="s">
        <v>128</v>
      </c>
      <c r="F1220" s="151" t="s">
        <v>3</v>
      </c>
      <c r="G1220" s="225">
        <v>16</v>
      </c>
      <c r="H1220" s="69">
        <f t="shared" si="115"/>
        <v>0</v>
      </c>
      <c r="I1220" s="70">
        <f>ROUND($G1220*H1220,2)</f>
        <v>0</v>
      </c>
    </row>
    <row r="1221" spans="2:9" ht="13.2">
      <c r="B1221" s="367" t="s">
        <v>323</v>
      </c>
      <c r="C1221" s="60" t="s">
        <v>198</v>
      </c>
      <c r="D1221" s="60"/>
      <c r="E1221" s="152" t="s">
        <v>75</v>
      </c>
      <c r="F1221" s="153" t="s">
        <v>13</v>
      </c>
      <c r="G1221" s="153" t="s">
        <v>13</v>
      </c>
      <c r="H1221" s="65" t="s">
        <v>13</v>
      </c>
      <c r="I1221" s="65" t="s">
        <v>13</v>
      </c>
    </row>
    <row r="1222" spans="2:9" ht="13.2">
      <c r="B1222" s="368" t="s">
        <v>324</v>
      </c>
      <c r="C1222" s="83"/>
      <c r="D1222" s="83"/>
      <c r="E1222" s="144" t="s">
        <v>164</v>
      </c>
      <c r="F1222" s="128" t="s">
        <v>16</v>
      </c>
      <c r="G1222" s="225">
        <f>2.5*14.35*2</f>
        <v>71.75</v>
      </c>
      <c r="H1222" s="69">
        <f t="shared" si="115"/>
        <v>0</v>
      </c>
      <c r="I1222" s="70">
        <f>ROUND($G1222*H1222,2)</f>
        <v>0</v>
      </c>
    </row>
    <row r="1223" spans="2:9" ht="13.2">
      <c r="B1223" s="367" t="s">
        <v>325</v>
      </c>
      <c r="C1223" s="60" t="s">
        <v>199</v>
      </c>
      <c r="D1223" s="60"/>
      <c r="E1223" s="152" t="s">
        <v>110</v>
      </c>
      <c r="F1223" s="151" t="s">
        <v>13</v>
      </c>
      <c r="G1223" s="154" t="s">
        <v>13</v>
      </c>
      <c r="H1223" s="65" t="s">
        <v>13</v>
      </c>
      <c r="I1223" s="65" t="s">
        <v>13</v>
      </c>
    </row>
    <row r="1224" spans="2:9" ht="22.8">
      <c r="B1224" s="370" t="s">
        <v>326</v>
      </c>
      <c r="C1224" s="66"/>
      <c r="D1224" s="157"/>
      <c r="E1224" s="150" t="s">
        <v>126</v>
      </c>
      <c r="F1224" s="81" t="s">
        <v>16</v>
      </c>
      <c r="G1224" s="225">
        <f>4.3*11.3*2</f>
        <v>97.18</v>
      </c>
      <c r="H1224" s="69">
        <f t="shared" si="115"/>
        <v>0</v>
      </c>
      <c r="I1224" s="70">
        <f>ROUND($G1224*H1224,2)</f>
        <v>0</v>
      </c>
    </row>
    <row r="1225" spans="2:9" ht="13.2">
      <c r="B1225" s="369"/>
      <c r="C1225" s="12"/>
      <c r="D1225" s="25"/>
      <c r="E1225" s="14" t="s">
        <v>77</v>
      </c>
      <c r="F1225" s="13"/>
      <c r="G1225" s="96"/>
      <c r="H1225" s="194" t="s">
        <v>13</v>
      </c>
      <c r="I1225" s="34" t="s">
        <v>13</v>
      </c>
    </row>
    <row r="1226" spans="2:9" ht="13.8">
      <c r="B1226" s="367"/>
      <c r="C1226" s="571" t="s">
        <v>332</v>
      </c>
      <c r="D1226" s="572"/>
      <c r="E1226" s="573"/>
      <c r="F1226" s="7"/>
      <c r="G1226" s="161"/>
      <c r="H1226" s="33" t="s">
        <v>13</v>
      </c>
      <c r="I1226" s="10">
        <f>SUM(I1129:I1224)</f>
        <v>0</v>
      </c>
    </row>
    <row r="1227" spans="2:9" ht="26.4">
      <c r="B1227" s="205" t="s">
        <v>334</v>
      </c>
      <c r="C1227" s="558" t="s">
        <v>581</v>
      </c>
      <c r="D1227" s="559"/>
      <c r="E1227" s="560"/>
      <c r="F1227" s="560"/>
      <c r="G1227" s="560"/>
      <c r="H1227" s="560"/>
      <c r="I1227" s="561"/>
    </row>
    <row r="1228" spans="2:9" ht="24">
      <c r="B1228" s="364" t="s">
        <v>0</v>
      </c>
      <c r="C1228" s="404" t="s">
        <v>210</v>
      </c>
      <c r="D1228" s="404" t="s">
        <v>333</v>
      </c>
      <c r="E1228" s="405" t="s">
        <v>203</v>
      </c>
      <c r="F1228" s="310" t="s">
        <v>204</v>
      </c>
      <c r="G1228" s="405" t="s">
        <v>1</v>
      </c>
      <c r="H1228" s="41" t="s">
        <v>111</v>
      </c>
      <c r="I1228" s="406" t="s">
        <v>112</v>
      </c>
    </row>
    <row r="1229" spans="2:9" ht="13.2">
      <c r="B1229" s="369"/>
      <c r="C1229" s="129"/>
      <c r="D1229" s="130"/>
      <c r="E1229" s="87" t="s">
        <v>447</v>
      </c>
      <c r="F1229" s="13" t="s">
        <v>153</v>
      </c>
      <c r="G1229" s="134"/>
      <c r="H1229" s="253"/>
      <c r="I1229" s="254" t="s">
        <v>13</v>
      </c>
    </row>
    <row r="1230" spans="2:9" ht="13.2">
      <c r="B1230" s="367" t="s">
        <v>250</v>
      </c>
      <c r="C1230" s="375" t="s">
        <v>172</v>
      </c>
      <c r="D1230" s="374"/>
      <c r="E1230" s="376" t="s">
        <v>20</v>
      </c>
      <c r="F1230" s="377"/>
      <c r="G1230" s="378"/>
      <c r="H1230" s="427"/>
      <c r="I1230" s="428"/>
    </row>
    <row r="1231" spans="2:9" ht="24">
      <c r="B1231" s="367"/>
      <c r="C1231" s="71"/>
      <c r="D1231" s="72"/>
      <c r="E1231" s="73" t="s">
        <v>241</v>
      </c>
      <c r="F1231" s="30"/>
      <c r="G1231" s="40"/>
      <c r="H1231" s="255"/>
      <c r="I1231" s="255"/>
    </row>
    <row r="1232" spans="2:9" ht="13.2">
      <c r="B1232" s="367" t="s">
        <v>251</v>
      </c>
      <c r="C1232" s="74" t="s">
        <v>173</v>
      </c>
      <c r="D1232" s="75"/>
      <c r="E1232" s="76" t="s">
        <v>115</v>
      </c>
      <c r="F1232" s="62" t="s">
        <v>13</v>
      </c>
      <c r="G1232" s="63" t="s">
        <v>13</v>
      </c>
      <c r="H1232" s="256"/>
      <c r="I1232" s="257" t="s">
        <v>13</v>
      </c>
    </row>
    <row r="1233" spans="2:9" ht="13.2">
      <c r="B1233" s="369"/>
      <c r="C1233" s="77"/>
      <c r="D1233" s="78"/>
      <c r="E1233" s="79" t="s">
        <v>117</v>
      </c>
      <c r="F1233" s="62" t="s">
        <v>13</v>
      </c>
      <c r="G1233" s="63" t="s">
        <v>13</v>
      </c>
      <c r="H1233" s="256"/>
      <c r="I1233" s="257" t="s">
        <v>13</v>
      </c>
    </row>
    <row r="1234" spans="2:9" ht="13.2">
      <c r="B1234" s="368" t="s">
        <v>252</v>
      </c>
      <c r="C1234" s="66"/>
      <c r="D1234" s="82"/>
      <c r="E1234" s="80" t="s">
        <v>365</v>
      </c>
      <c r="F1234" s="81" t="s">
        <v>23</v>
      </c>
      <c r="G1234" s="68">
        <v>60</v>
      </c>
      <c r="H1234" s="69">
        <f t="shared" ref="H1234:H1293" si="116">L1234*$K$5</f>
        <v>0</v>
      </c>
      <c r="I1234" s="258">
        <f>ROUND($G1234*H1234,2)</f>
        <v>0</v>
      </c>
    </row>
    <row r="1235" spans="2:9" ht="13.2">
      <c r="B1235" s="368" t="s">
        <v>253</v>
      </c>
      <c r="C1235" s="83"/>
      <c r="D1235" s="84"/>
      <c r="E1235" s="80" t="s">
        <v>582</v>
      </c>
      <c r="F1235" s="81" t="s">
        <v>23</v>
      </c>
      <c r="G1235" s="68">
        <v>13816</v>
      </c>
      <c r="H1235" s="69">
        <f t="shared" si="116"/>
        <v>0</v>
      </c>
      <c r="I1235" s="258">
        <f>ROUND($G1235*H1235,2)</f>
        <v>0</v>
      </c>
    </row>
    <row r="1236" spans="2:9" ht="13.2">
      <c r="B1236" s="369"/>
      <c r="C1236" s="83"/>
      <c r="D1236" s="84"/>
      <c r="E1236" s="87" t="s">
        <v>26</v>
      </c>
      <c r="F1236" s="81" t="s">
        <v>153</v>
      </c>
      <c r="G1236" s="37"/>
      <c r="H1236" s="254" t="s">
        <v>13</v>
      </c>
      <c r="I1236" s="254" t="s">
        <v>13</v>
      </c>
    </row>
    <row r="1237" spans="2:9" ht="13.2">
      <c r="B1237" s="367" t="s">
        <v>256</v>
      </c>
      <c r="C1237" s="375" t="s">
        <v>174</v>
      </c>
      <c r="D1237" s="374"/>
      <c r="E1237" s="376" t="s">
        <v>27</v>
      </c>
      <c r="F1237" s="377"/>
      <c r="G1237" s="378"/>
      <c r="H1237" s="428"/>
      <c r="I1237" s="428"/>
    </row>
    <row r="1238" spans="2:9" ht="24">
      <c r="B1238" s="367"/>
      <c r="C1238" s="71"/>
      <c r="D1238" s="72"/>
      <c r="E1238" s="73" t="s">
        <v>241</v>
      </c>
      <c r="F1238" s="30"/>
      <c r="G1238" s="40"/>
      <c r="H1238" s="255"/>
      <c r="I1238" s="255"/>
    </row>
    <row r="1239" spans="2:9" ht="13.2">
      <c r="B1239" s="367" t="s">
        <v>257</v>
      </c>
      <c r="C1239" s="66" t="s">
        <v>176</v>
      </c>
      <c r="D1239" s="66"/>
      <c r="E1239" s="90" t="s">
        <v>31</v>
      </c>
      <c r="F1239" s="81" t="s">
        <v>13</v>
      </c>
      <c r="G1239" s="228" t="s">
        <v>13</v>
      </c>
      <c r="H1239" s="257" t="s">
        <v>13</v>
      </c>
      <c r="I1239" s="257" t="s">
        <v>13</v>
      </c>
    </row>
    <row r="1240" spans="2:9" ht="13.2">
      <c r="B1240" s="368" t="s">
        <v>258</v>
      </c>
      <c r="C1240" s="66"/>
      <c r="D1240" s="66"/>
      <c r="E1240" s="67" t="s">
        <v>165</v>
      </c>
      <c r="F1240" s="62" t="s">
        <v>17</v>
      </c>
      <c r="G1240" s="68">
        <v>1.2</v>
      </c>
      <c r="H1240" s="69">
        <f t="shared" si="116"/>
        <v>0</v>
      </c>
      <c r="I1240" s="258">
        <f>ROUND($G1240*H1240,2)</f>
        <v>0</v>
      </c>
    </row>
    <row r="1241" spans="2:9" ht="13.2">
      <c r="B1241" s="367" t="s">
        <v>259</v>
      </c>
      <c r="C1241" s="60" t="s">
        <v>541</v>
      </c>
      <c r="D1241" s="60"/>
      <c r="E1241" s="90" t="s">
        <v>542</v>
      </c>
      <c r="F1241" s="62" t="s">
        <v>13</v>
      </c>
      <c r="G1241" s="63" t="s">
        <v>13</v>
      </c>
      <c r="H1241" s="63" t="s">
        <v>13</v>
      </c>
      <c r="I1241" s="257" t="s">
        <v>13</v>
      </c>
    </row>
    <row r="1242" spans="2:9" ht="22.8">
      <c r="B1242" s="368" t="s">
        <v>260</v>
      </c>
      <c r="C1242" s="66"/>
      <c r="D1242" s="66"/>
      <c r="E1242" s="90" t="s">
        <v>583</v>
      </c>
      <c r="F1242" s="62" t="s">
        <v>17</v>
      </c>
      <c r="G1242" s="93">
        <v>156</v>
      </c>
      <c r="H1242" s="69">
        <f t="shared" si="116"/>
        <v>0</v>
      </c>
      <c r="I1242" s="258">
        <f>ROUND($G1242*H1242,2)</f>
        <v>0</v>
      </c>
    </row>
    <row r="1243" spans="2:9" ht="13.2">
      <c r="B1243" s="369"/>
      <c r="C1243" s="62"/>
      <c r="D1243" s="95"/>
      <c r="E1243" s="87" t="s">
        <v>39</v>
      </c>
      <c r="F1243" s="62" t="s">
        <v>153</v>
      </c>
      <c r="G1243" s="96"/>
      <c r="H1243" s="63" t="s">
        <v>13</v>
      </c>
      <c r="I1243" s="254" t="s">
        <v>13</v>
      </c>
    </row>
    <row r="1244" spans="2:9" ht="13.2">
      <c r="B1244" s="367" t="s">
        <v>261</v>
      </c>
      <c r="C1244" s="74" t="s">
        <v>181</v>
      </c>
      <c r="D1244" s="75"/>
      <c r="E1244" s="97" t="s">
        <v>139</v>
      </c>
      <c r="F1244" s="62" t="s">
        <v>13</v>
      </c>
      <c r="G1244" s="63" t="s">
        <v>13</v>
      </c>
      <c r="H1244" s="63" t="s">
        <v>13</v>
      </c>
      <c r="I1244" s="257" t="s">
        <v>13</v>
      </c>
    </row>
    <row r="1245" spans="2:9" ht="22.8">
      <c r="B1245" s="368" t="s">
        <v>262</v>
      </c>
      <c r="C1245" s="88"/>
      <c r="D1245" s="89"/>
      <c r="E1245" s="100" t="s">
        <v>140</v>
      </c>
      <c r="F1245" s="62" t="s">
        <v>17</v>
      </c>
      <c r="G1245" s="68">
        <v>12</v>
      </c>
      <c r="H1245" s="69">
        <f t="shared" si="116"/>
        <v>0</v>
      </c>
      <c r="I1245" s="259">
        <f>ROUND($G1245*H1245,2)</f>
        <v>0</v>
      </c>
    </row>
    <row r="1246" spans="2:9" ht="13.2">
      <c r="B1246" s="369"/>
      <c r="C1246" s="103"/>
      <c r="D1246" s="104"/>
      <c r="E1246" s="87" t="s">
        <v>43</v>
      </c>
      <c r="F1246" s="62" t="s">
        <v>153</v>
      </c>
      <c r="G1246" s="39"/>
      <c r="H1246" s="254" t="s">
        <v>13</v>
      </c>
      <c r="I1246" s="254" t="s">
        <v>13</v>
      </c>
    </row>
    <row r="1247" spans="2:9" ht="13.2">
      <c r="B1247" s="367" t="s">
        <v>275</v>
      </c>
      <c r="C1247" s="375" t="s">
        <v>201</v>
      </c>
      <c r="D1247" s="374"/>
      <c r="E1247" s="407" t="s">
        <v>380</v>
      </c>
      <c r="F1247" s="377"/>
      <c r="G1247" s="378"/>
      <c r="H1247" s="428"/>
      <c r="I1247" s="428"/>
    </row>
    <row r="1248" spans="2:9" ht="24">
      <c r="B1248" s="367"/>
      <c r="C1248" s="71"/>
      <c r="D1248" s="72"/>
      <c r="E1248" s="73" t="s">
        <v>241</v>
      </c>
      <c r="F1248" s="30"/>
      <c r="G1248" s="43"/>
      <c r="H1248" s="255"/>
      <c r="I1248" s="255"/>
    </row>
    <row r="1249" spans="2:9" ht="13.2">
      <c r="B1249" s="367" t="s">
        <v>276</v>
      </c>
      <c r="C1249" s="60" t="s">
        <v>182</v>
      </c>
      <c r="D1249" s="60"/>
      <c r="E1249" s="90" t="s">
        <v>49</v>
      </c>
      <c r="F1249" s="62" t="s">
        <v>13</v>
      </c>
      <c r="G1249" s="63" t="s">
        <v>13</v>
      </c>
      <c r="H1249" s="257" t="s">
        <v>13</v>
      </c>
      <c r="I1249" s="257" t="s">
        <v>13</v>
      </c>
    </row>
    <row r="1250" spans="2:9" ht="34.200000000000003">
      <c r="B1250" s="368" t="s">
        <v>277</v>
      </c>
      <c r="C1250" s="66"/>
      <c r="D1250" s="66"/>
      <c r="E1250" s="110" t="s">
        <v>207</v>
      </c>
      <c r="F1250" s="62" t="s">
        <v>15</v>
      </c>
      <c r="G1250" s="68">
        <v>135</v>
      </c>
      <c r="H1250" s="69">
        <f t="shared" si="116"/>
        <v>0</v>
      </c>
      <c r="I1250" s="258">
        <f>ROUND($G1250*H1250,2)</f>
        <v>0</v>
      </c>
    </row>
    <row r="1251" spans="2:9" ht="13.2">
      <c r="B1251" s="367" t="s">
        <v>279</v>
      </c>
      <c r="C1251" s="74" t="s">
        <v>168</v>
      </c>
      <c r="D1251" s="74"/>
      <c r="E1251" s="90" t="s">
        <v>155</v>
      </c>
      <c r="F1251" s="81" t="s">
        <v>13</v>
      </c>
      <c r="G1251" s="228" t="s">
        <v>13</v>
      </c>
      <c r="H1251" s="63" t="s">
        <v>13</v>
      </c>
      <c r="I1251" s="257" t="s">
        <v>13</v>
      </c>
    </row>
    <row r="1252" spans="2:9" ht="22.8">
      <c r="B1252" s="368" t="s">
        <v>280</v>
      </c>
      <c r="C1252" s="103"/>
      <c r="D1252" s="103"/>
      <c r="E1252" s="110" t="s">
        <v>209</v>
      </c>
      <c r="F1252" s="62" t="s">
        <v>15</v>
      </c>
      <c r="G1252" s="68">
        <v>10</v>
      </c>
      <c r="H1252" s="69">
        <f t="shared" si="116"/>
        <v>0</v>
      </c>
      <c r="I1252" s="258">
        <f>ROUND($G1252*H1252,2)</f>
        <v>0</v>
      </c>
    </row>
    <row r="1253" spans="2:9" ht="13.2">
      <c r="B1253" s="369"/>
      <c r="C1253" s="12"/>
      <c r="D1253" s="25"/>
      <c r="E1253" s="87" t="s">
        <v>58</v>
      </c>
      <c r="F1253" s="13" t="s">
        <v>153</v>
      </c>
      <c r="G1253" s="96"/>
      <c r="H1253" s="254" t="s">
        <v>13</v>
      </c>
      <c r="I1253" s="254" t="s">
        <v>13</v>
      </c>
    </row>
    <row r="1254" spans="2:9" ht="13.2">
      <c r="B1254" s="367" t="s">
        <v>292</v>
      </c>
      <c r="C1254" s="375" t="s">
        <v>188</v>
      </c>
      <c r="D1254" s="374"/>
      <c r="E1254" s="376" t="s">
        <v>59</v>
      </c>
      <c r="F1254" s="377"/>
      <c r="G1254" s="378"/>
      <c r="H1254" s="428"/>
      <c r="I1254" s="428"/>
    </row>
    <row r="1255" spans="2:9" ht="24">
      <c r="B1255" s="367"/>
      <c r="C1255" s="71"/>
      <c r="D1255" s="72"/>
      <c r="E1255" s="73" t="s">
        <v>241</v>
      </c>
      <c r="F1255" s="30"/>
      <c r="G1255" s="43"/>
      <c r="H1255" s="255"/>
      <c r="I1255" s="255"/>
    </row>
    <row r="1256" spans="2:9" ht="13.2">
      <c r="B1256" s="367" t="s">
        <v>293</v>
      </c>
      <c r="C1256" s="120" t="s">
        <v>189</v>
      </c>
      <c r="D1256" s="121"/>
      <c r="E1256" s="122" t="s">
        <v>60</v>
      </c>
      <c r="F1256" s="62" t="s">
        <v>13</v>
      </c>
      <c r="G1256" s="63" t="s">
        <v>13</v>
      </c>
      <c r="H1256" s="257" t="s">
        <v>13</v>
      </c>
      <c r="I1256" s="257" t="s">
        <v>13</v>
      </c>
    </row>
    <row r="1257" spans="2:9" ht="34.200000000000003">
      <c r="B1257" s="368" t="s">
        <v>294</v>
      </c>
      <c r="C1257" s="123"/>
      <c r="D1257" s="124"/>
      <c r="E1257" s="80" t="s">
        <v>124</v>
      </c>
      <c r="F1257" s="81" t="s">
        <v>4</v>
      </c>
      <c r="G1257" s="68">
        <v>20</v>
      </c>
      <c r="H1257" s="69">
        <f t="shared" si="116"/>
        <v>0</v>
      </c>
      <c r="I1257" s="258">
        <f>ROUND($G1257*H1257,2)</f>
        <v>0</v>
      </c>
    </row>
    <row r="1258" spans="2:9" ht="13.2">
      <c r="B1258" s="369"/>
      <c r="C1258" s="129"/>
      <c r="D1258" s="130"/>
      <c r="E1258" s="87" t="s">
        <v>61</v>
      </c>
      <c r="F1258" s="13" t="s">
        <v>153</v>
      </c>
      <c r="G1258" s="119"/>
      <c r="H1258" s="254" t="s">
        <v>13</v>
      </c>
      <c r="I1258" s="254" t="s">
        <v>13</v>
      </c>
    </row>
    <row r="1259" spans="2:9" ht="13.2">
      <c r="B1259" s="367" t="s">
        <v>297</v>
      </c>
      <c r="C1259" s="375" t="s">
        <v>190</v>
      </c>
      <c r="D1259" s="374"/>
      <c r="E1259" s="376" t="s">
        <v>62</v>
      </c>
      <c r="F1259" s="377"/>
      <c r="G1259" s="378"/>
      <c r="H1259" s="428"/>
      <c r="I1259" s="428"/>
    </row>
    <row r="1260" spans="2:9" ht="24">
      <c r="B1260" s="367"/>
      <c r="C1260" s="71"/>
      <c r="D1260" s="72"/>
      <c r="E1260" s="73" t="s">
        <v>241</v>
      </c>
      <c r="F1260" s="30"/>
      <c r="G1260" s="40"/>
      <c r="H1260" s="255"/>
      <c r="I1260" s="255"/>
    </row>
    <row r="1261" spans="2:9" ht="13.2">
      <c r="B1261" s="367" t="s">
        <v>298</v>
      </c>
      <c r="C1261" s="60" t="s">
        <v>191</v>
      </c>
      <c r="D1261" s="60"/>
      <c r="E1261" s="90" t="s">
        <v>244</v>
      </c>
      <c r="F1261" s="62" t="s">
        <v>13</v>
      </c>
      <c r="G1261" s="63" t="s">
        <v>13</v>
      </c>
      <c r="H1261" s="257" t="s">
        <v>13</v>
      </c>
      <c r="I1261" s="257" t="s">
        <v>13</v>
      </c>
    </row>
    <row r="1262" spans="2:9" ht="22.8">
      <c r="B1262" s="368" t="s">
        <v>299</v>
      </c>
      <c r="C1262" s="66"/>
      <c r="D1262" s="66"/>
      <c r="E1262" s="133" t="s">
        <v>246</v>
      </c>
      <c r="F1262" s="132" t="s">
        <v>23</v>
      </c>
      <c r="G1262" s="68">
        <v>494</v>
      </c>
      <c r="H1262" s="69">
        <f t="shared" si="116"/>
        <v>0</v>
      </c>
      <c r="I1262" s="258">
        <f>ROUND($G1262*H1262,2)</f>
        <v>0</v>
      </c>
    </row>
    <row r="1263" spans="2:9" ht="13.2">
      <c r="B1263" s="369"/>
      <c r="C1263" s="12"/>
      <c r="D1263" s="25"/>
      <c r="E1263" s="87" t="s">
        <v>63</v>
      </c>
      <c r="F1263" s="13"/>
      <c r="G1263" s="134"/>
      <c r="H1263" s="254" t="s">
        <v>13</v>
      </c>
      <c r="I1263" s="254" t="s">
        <v>13</v>
      </c>
    </row>
    <row r="1264" spans="2:9" ht="13.2">
      <c r="B1264" s="367" t="s">
        <v>301</v>
      </c>
      <c r="C1264" s="375" t="s">
        <v>192</v>
      </c>
      <c r="D1264" s="374"/>
      <c r="E1264" s="376" t="s">
        <v>64</v>
      </c>
      <c r="F1264" s="377"/>
      <c r="G1264" s="378"/>
      <c r="H1264" s="428"/>
      <c r="I1264" s="428"/>
    </row>
    <row r="1265" spans="2:9" ht="24">
      <c r="B1265" s="367"/>
      <c r="C1265" s="71"/>
      <c r="D1265" s="72"/>
      <c r="E1265" s="73" t="s">
        <v>241</v>
      </c>
      <c r="F1265" s="30"/>
      <c r="G1265" s="40"/>
      <c r="H1265" s="255"/>
      <c r="I1265" s="255"/>
    </row>
    <row r="1266" spans="2:9" ht="13.2">
      <c r="B1266" s="367" t="s">
        <v>584</v>
      </c>
      <c r="C1266" s="74" t="s">
        <v>169</v>
      </c>
      <c r="D1266" s="75"/>
      <c r="E1266" s="122" t="s">
        <v>69</v>
      </c>
      <c r="F1266" s="62" t="s">
        <v>13</v>
      </c>
      <c r="G1266" s="63" t="s">
        <v>13</v>
      </c>
      <c r="H1266" s="257" t="s">
        <v>13</v>
      </c>
      <c r="I1266" s="257" t="s">
        <v>13</v>
      </c>
    </row>
    <row r="1267" spans="2:9" ht="34.200000000000003">
      <c r="B1267" s="368" t="s">
        <v>585</v>
      </c>
      <c r="C1267" s="98"/>
      <c r="D1267" s="99"/>
      <c r="E1267" s="80" t="s">
        <v>161</v>
      </c>
      <c r="F1267" s="81" t="s">
        <v>16</v>
      </c>
      <c r="G1267" s="68">
        <v>65</v>
      </c>
      <c r="H1267" s="69">
        <f t="shared" si="116"/>
        <v>0</v>
      </c>
      <c r="I1267" s="258">
        <f>ROUND($G1267*H1267,2)</f>
        <v>0</v>
      </c>
    </row>
    <row r="1268" spans="2:9" ht="15.6">
      <c r="B1268" s="368" t="s">
        <v>586</v>
      </c>
      <c r="C1268" s="101"/>
      <c r="D1268" s="102"/>
      <c r="E1268" s="80" t="s">
        <v>556</v>
      </c>
      <c r="F1268" s="81" t="s">
        <v>76</v>
      </c>
      <c r="G1268" s="68">
        <v>480</v>
      </c>
      <c r="H1268" s="69">
        <f t="shared" si="116"/>
        <v>0</v>
      </c>
      <c r="I1268" s="258">
        <f>ROUND($G1268*H1268,2)</f>
        <v>0</v>
      </c>
    </row>
    <row r="1269" spans="2:9" ht="13.2">
      <c r="B1269" s="367" t="s">
        <v>304</v>
      </c>
      <c r="C1269" s="60" t="s">
        <v>195</v>
      </c>
      <c r="D1269" s="60"/>
      <c r="E1269" s="90" t="s">
        <v>71</v>
      </c>
      <c r="F1269" s="140" t="s">
        <v>13</v>
      </c>
      <c r="G1269" s="234" t="s">
        <v>13</v>
      </c>
      <c r="H1269" s="234" t="s">
        <v>13</v>
      </c>
      <c r="I1269" s="257" t="s">
        <v>13</v>
      </c>
    </row>
    <row r="1270" spans="2:9" ht="57">
      <c r="B1270" s="368" t="s">
        <v>305</v>
      </c>
      <c r="C1270" s="66"/>
      <c r="D1270" s="66"/>
      <c r="E1270" s="141" t="s">
        <v>127</v>
      </c>
      <c r="F1270" s="137" t="s">
        <v>16</v>
      </c>
      <c r="G1270" s="68">
        <v>25</v>
      </c>
      <c r="H1270" s="69">
        <f t="shared" si="116"/>
        <v>0</v>
      </c>
      <c r="I1270" s="258">
        <f>ROUND($G1270*H1270,2)</f>
        <v>0</v>
      </c>
    </row>
    <row r="1271" spans="2:9" ht="13.2">
      <c r="B1271" s="367" t="s">
        <v>307</v>
      </c>
      <c r="C1271" s="60" t="s">
        <v>170</v>
      </c>
      <c r="D1271" s="60"/>
      <c r="E1271" s="61" t="s">
        <v>72</v>
      </c>
      <c r="F1271" s="81" t="s">
        <v>13</v>
      </c>
      <c r="G1271" s="260" t="s">
        <v>13</v>
      </c>
      <c r="H1271" s="260" t="s">
        <v>13</v>
      </c>
      <c r="I1271" s="257" t="s">
        <v>13</v>
      </c>
    </row>
    <row r="1272" spans="2:9" ht="34.200000000000003">
      <c r="B1272" s="368" t="s">
        <v>308</v>
      </c>
      <c r="C1272" s="66"/>
      <c r="D1272" s="66"/>
      <c r="E1272" s="144" t="s">
        <v>148</v>
      </c>
      <c r="F1272" s="81" t="s">
        <v>4</v>
      </c>
      <c r="G1272" s="68">
        <v>39</v>
      </c>
      <c r="H1272" s="69">
        <f t="shared" si="116"/>
        <v>0</v>
      </c>
      <c r="I1272" s="258">
        <f>ROUND($G1272*H1272,2)</f>
        <v>0</v>
      </c>
    </row>
    <row r="1273" spans="2:9" ht="22.8">
      <c r="B1273" s="367" t="s">
        <v>557</v>
      </c>
      <c r="C1273" s="60" t="s">
        <v>196</v>
      </c>
      <c r="D1273" s="60"/>
      <c r="E1273" s="145" t="s">
        <v>131</v>
      </c>
      <c r="F1273" s="146" t="s">
        <v>13</v>
      </c>
      <c r="G1273" s="245" t="s">
        <v>13</v>
      </c>
      <c r="H1273" s="260" t="s">
        <v>13</v>
      </c>
      <c r="I1273" s="257" t="s">
        <v>13</v>
      </c>
    </row>
    <row r="1274" spans="2:9" ht="13.2">
      <c r="B1274" s="368" t="s">
        <v>558</v>
      </c>
      <c r="C1274" s="66"/>
      <c r="D1274" s="66"/>
      <c r="E1274" s="261" t="s">
        <v>587</v>
      </c>
      <c r="F1274" s="81" t="s">
        <v>16</v>
      </c>
      <c r="G1274" s="68">
        <v>135</v>
      </c>
      <c r="H1274" s="69">
        <f t="shared" si="116"/>
        <v>0</v>
      </c>
      <c r="I1274" s="258">
        <f>ROUND($G1274*H1274,2)</f>
        <v>0</v>
      </c>
    </row>
    <row r="1275" spans="2:9" ht="22.8">
      <c r="B1275" s="367" t="s">
        <v>311</v>
      </c>
      <c r="C1275" s="74" t="s">
        <v>197</v>
      </c>
      <c r="D1275" s="74"/>
      <c r="E1275" s="148" t="s">
        <v>73</v>
      </c>
      <c r="F1275" s="81" t="s">
        <v>13</v>
      </c>
      <c r="G1275" s="228" t="s">
        <v>13</v>
      </c>
      <c r="H1275" s="260" t="s">
        <v>13</v>
      </c>
      <c r="I1275" s="257" t="s">
        <v>13</v>
      </c>
    </row>
    <row r="1276" spans="2:9" ht="13.2">
      <c r="B1276" s="368" t="s">
        <v>312</v>
      </c>
      <c r="C1276" s="98"/>
      <c r="D1276" s="98"/>
      <c r="E1276" s="149" t="s">
        <v>74</v>
      </c>
      <c r="F1276" s="136" t="s">
        <v>3</v>
      </c>
      <c r="G1276" s="68">
        <v>2</v>
      </c>
      <c r="H1276" s="69">
        <f t="shared" si="116"/>
        <v>0</v>
      </c>
      <c r="I1276" s="258">
        <f>ROUND($G1276*H1276,2)</f>
        <v>0</v>
      </c>
    </row>
    <row r="1277" spans="2:9" ht="22.8">
      <c r="B1277" s="368" t="s">
        <v>313</v>
      </c>
      <c r="C1277" s="101"/>
      <c r="D1277" s="101"/>
      <c r="E1277" s="150" t="s">
        <v>128</v>
      </c>
      <c r="F1277" s="151" t="s">
        <v>3</v>
      </c>
      <c r="G1277" s="68">
        <v>6</v>
      </c>
      <c r="H1277" s="69">
        <f t="shared" si="116"/>
        <v>0</v>
      </c>
      <c r="I1277" s="258">
        <f>ROUND($G1277*H1277,2)</f>
        <v>0</v>
      </c>
    </row>
    <row r="1278" spans="2:9" ht="13.2">
      <c r="B1278" s="367" t="s">
        <v>314</v>
      </c>
      <c r="C1278" s="60" t="s">
        <v>415</v>
      </c>
      <c r="D1278" s="60"/>
      <c r="E1278" s="177" t="s">
        <v>416</v>
      </c>
      <c r="F1278" s="153" t="s">
        <v>13</v>
      </c>
      <c r="G1278" s="235" t="s">
        <v>13</v>
      </c>
      <c r="H1278" s="260" t="s">
        <v>13</v>
      </c>
      <c r="I1278" s="257" t="s">
        <v>13</v>
      </c>
    </row>
    <row r="1279" spans="2:9" ht="13.2">
      <c r="B1279" s="368" t="s">
        <v>315</v>
      </c>
      <c r="C1279" s="66"/>
      <c r="D1279" s="66"/>
      <c r="E1279" s="178" t="s">
        <v>418</v>
      </c>
      <c r="F1279" s="146" t="s">
        <v>17</v>
      </c>
      <c r="G1279" s="68">
        <v>40</v>
      </c>
      <c r="H1279" s="69">
        <f t="shared" si="116"/>
        <v>0</v>
      </c>
      <c r="I1279" s="258">
        <f>ROUND($G1279*H1279,2)</f>
        <v>0</v>
      </c>
    </row>
    <row r="1280" spans="2:9" ht="22.8">
      <c r="B1280" s="368" t="s">
        <v>560</v>
      </c>
      <c r="C1280" s="66"/>
      <c r="D1280" s="66"/>
      <c r="E1280" s="178" t="s">
        <v>420</v>
      </c>
      <c r="F1280" s="146" t="s">
        <v>17</v>
      </c>
      <c r="G1280" s="68">
        <v>4.5</v>
      </c>
      <c r="H1280" s="69">
        <f t="shared" si="116"/>
        <v>0</v>
      </c>
      <c r="I1280" s="258">
        <f>ROUND($G1280*H1280,2)</f>
        <v>0</v>
      </c>
    </row>
    <row r="1281" spans="2:9" ht="13.2">
      <c r="B1281" s="369"/>
      <c r="C1281" s="12"/>
      <c r="D1281" s="25"/>
      <c r="E1281" s="14" t="s">
        <v>77</v>
      </c>
      <c r="F1281" s="13"/>
      <c r="G1281" s="96"/>
      <c r="H1281" s="254" t="s">
        <v>13</v>
      </c>
      <c r="I1281" s="254" t="s">
        <v>13</v>
      </c>
    </row>
    <row r="1282" spans="2:9" ht="13.2">
      <c r="B1282" s="367" t="s">
        <v>465</v>
      </c>
      <c r="C1282" s="375" t="s">
        <v>466</v>
      </c>
      <c r="D1282" s="374"/>
      <c r="E1282" s="376" t="s">
        <v>467</v>
      </c>
      <c r="F1282" s="377"/>
      <c r="G1282" s="378"/>
      <c r="H1282" s="429"/>
      <c r="I1282" s="429"/>
    </row>
    <row r="1283" spans="2:9" ht="24">
      <c r="B1283" s="369"/>
      <c r="C1283" s="71"/>
      <c r="D1283" s="72"/>
      <c r="E1283" s="73" t="s">
        <v>241</v>
      </c>
      <c r="F1283" s="30"/>
      <c r="G1283" s="43"/>
      <c r="H1283" s="262"/>
      <c r="I1283" s="262"/>
    </row>
    <row r="1284" spans="2:9" ht="13.2">
      <c r="B1284" s="367" t="s">
        <v>468</v>
      </c>
      <c r="C1284" s="74" t="s">
        <v>466</v>
      </c>
      <c r="D1284" s="74"/>
      <c r="E1284" s="90" t="s">
        <v>469</v>
      </c>
      <c r="F1284" s="136" t="s">
        <v>13</v>
      </c>
      <c r="G1284" s="228" t="s">
        <v>13</v>
      </c>
      <c r="H1284" s="257" t="s">
        <v>13</v>
      </c>
      <c r="I1284" s="257" t="s">
        <v>13</v>
      </c>
    </row>
    <row r="1285" spans="2:9" ht="13.2">
      <c r="B1285" s="368" t="s">
        <v>470</v>
      </c>
      <c r="C1285" s="101"/>
      <c r="D1285" s="101"/>
      <c r="E1285" s="90" t="s">
        <v>471</v>
      </c>
      <c r="F1285" s="62" t="s">
        <v>2</v>
      </c>
      <c r="G1285" s="68">
        <v>1</v>
      </c>
      <c r="H1285" s="69">
        <f t="shared" si="116"/>
        <v>0</v>
      </c>
      <c r="I1285" s="258">
        <f>ROUND($G1285*H1285,2)</f>
        <v>0</v>
      </c>
    </row>
    <row r="1286" spans="2:9" ht="13.2">
      <c r="B1286" s="367" t="s">
        <v>472</v>
      </c>
      <c r="C1286" s="74" t="s">
        <v>473</v>
      </c>
      <c r="D1286" s="74"/>
      <c r="E1286" s="90" t="s">
        <v>474</v>
      </c>
      <c r="F1286" s="136" t="s">
        <v>13</v>
      </c>
      <c r="G1286" s="228" t="s">
        <v>13</v>
      </c>
      <c r="H1286" s="260" t="s">
        <v>13</v>
      </c>
      <c r="I1286" s="257" t="s">
        <v>13</v>
      </c>
    </row>
    <row r="1287" spans="2:9" ht="13.2">
      <c r="B1287" s="368" t="s">
        <v>475</v>
      </c>
      <c r="C1287" s="101"/>
      <c r="D1287" s="101"/>
      <c r="E1287" s="90" t="s">
        <v>476</v>
      </c>
      <c r="F1287" s="62" t="s">
        <v>15</v>
      </c>
      <c r="G1287" s="68">
        <v>360</v>
      </c>
      <c r="H1287" s="69">
        <f t="shared" si="116"/>
        <v>0</v>
      </c>
      <c r="I1287" s="258">
        <f>ROUND($G1287*H1287,2)</f>
        <v>0</v>
      </c>
    </row>
    <row r="1288" spans="2:9" ht="13.2">
      <c r="B1288" s="367" t="s">
        <v>477</v>
      </c>
      <c r="C1288" s="74" t="s">
        <v>478</v>
      </c>
      <c r="D1288" s="74"/>
      <c r="E1288" s="90" t="s">
        <v>479</v>
      </c>
      <c r="F1288" s="136" t="s">
        <v>13</v>
      </c>
      <c r="G1288" s="228" t="s">
        <v>13</v>
      </c>
      <c r="H1288" s="260" t="s">
        <v>13</v>
      </c>
      <c r="I1288" s="257" t="s">
        <v>13</v>
      </c>
    </row>
    <row r="1289" spans="2:9" ht="13.2">
      <c r="B1289" s="368" t="s">
        <v>480</v>
      </c>
      <c r="C1289" s="101"/>
      <c r="D1289" s="101"/>
      <c r="E1289" s="90" t="s">
        <v>481</v>
      </c>
      <c r="F1289" s="62" t="s">
        <v>17</v>
      </c>
      <c r="G1289" s="68">
        <v>3.5</v>
      </c>
      <c r="H1289" s="69">
        <f t="shared" si="116"/>
        <v>0</v>
      </c>
      <c r="I1289" s="258">
        <f>ROUND($G1289*H1289,2)</f>
        <v>0</v>
      </c>
    </row>
    <row r="1290" spans="2:9" ht="13.2">
      <c r="B1290" s="367" t="s">
        <v>482</v>
      </c>
      <c r="C1290" s="74" t="s">
        <v>483</v>
      </c>
      <c r="D1290" s="74"/>
      <c r="E1290" s="90" t="s">
        <v>484</v>
      </c>
      <c r="F1290" s="136" t="s">
        <v>13</v>
      </c>
      <c r="G1290" s="228" t="s">
        <v>13</v>
      </c>
      <c r="H1290" s="260" t="s">
        <v>13</v>
      </c>
      <c r="I1290" s="257" t="s">
        <v>13</v>
      </c>
    </row>
    <row r="1291" spans="2:9" ht="13.2">
      <c r="B1291" s="368" t="s">
        <v>485</v>
      </c>
      <c r="C1291" s="101"/>
      <c r="D1291" s="101"/>
      <c r="E1291" s="90" t="s">
        <v>486</v>
      </c>
      <c r="F1291" s="62" t="s">
        <v>4</v>
      </c>
      <c r="G1291" s="68">
        <v>35</v>
      </c>
      <c r="H1291" s="69">
        <f t="shared" si="116"/>
        <v>0</v>
      </c>
      <c r="I1291" s="258">
        <f>ROUND($G1291*H1291,2)</f>
        <v>0</v>
      </c>
    </row>
    <row r="1292" spans="2:9" ht="13.2">
      <c r="B1292" s="367" t="s">
        <v>487</v>
      </c>
      <c r="C1292" s="74" t="s">
        <v>488</v>
      </c>
      <c r="D1292" s="74"/>
      <c r="E1292" s="90" t="s">
        <v>489</v>
      </c>
      <c r="F1292" s="136" t="s">
        <v>13</v>
      </c>
      <c r="G1292" s="228" t="s">
        <v>13</v>
      </c>
      <c r="H1292" s="260" t="s">
        <v>13</v>
      </c>
      <c r="I1292" s="257" t="s">
        <v>13</v>
      </c>
    </row>
    <row r="1293" spans="2:9" ht="22.8">
      <c r="B1293" s="368" t="s">
        <v>490</v>
      </c>
      <c r="C1293" s="101"/>
      <c r="D1293" s="101"/>
      <c r="E1293" s="90" t="s">
        <v>588</v>
      </c>
      <c r="F1293" s="62" t="s">
        <v>17</v>
      </c>
      <c r="G1293" s="68">
        <v>16</v>
      </c>
      <c r="H1293" s="69">
        <f t="shared" si="116"/>
        <v>0</v>
      </c>
      <c r="I1293" s="258">
        <f>ROUND($G1293*H1293,2)</f>
        <v>0</v>
      </c>
    </row>
    <row r="1294" spans="2:9" ht="12">
      <c r="B1294" s="369"/>
      <c r="C1294" s="12"/>
      <c r="D1294" s="25"/>
      <c r="E1294" s="87" t="s">
        <v>492</v>
      </c>
      <c r="F1294" s="13"/>
      <c r="G1294" s="96"/>
      <c r="H1294" s="194" t="s">
        <v>13</v>
      </c>
      <c r="I1294" s="34" t="s">
        <v>13</v>
      </c>
    </row>
    <row r="1295" spans="2:9" ht="13.8">
      <c r="B1295" s="367"/>
      <c r="C1295" s="571" t="s">
        <v>332</v>
      </c>
      <c r="D1295" s="572"/>
      <c r="E1295" s="573"/>
      <c r="F1295" s="7"/>
      <c r="G1295" s="161"/>
      <c r="H1295" s="33" t="s">
        <v>13</v>
      </c>
      <c r="I1295" s="10">
        <f>SUM(I1229:I1293)</f>
        <v>0</v>
      </c>
    </row>
    <row r="1296" spans="2:9" ht="26.4">
      <c r="B1296" s="205" t="s">
        <v>334</v>
      </c>
      <c r="C1296" s="558" t="s">
        <v>589</v>
      </c>
      <c r="D1296" s="559"/>
      <c r="E1296" s="560"/>
      <c r="F1296" s="560"/>
      <c r="G1296" s="560"/>
      <c r="H1296" s="560"/>
      <c r="I1296" s="561"/>
    </row>
    <row r="1297" spans="2:9" ht="24">
      <c r="B1297" s="371" t="s">
        <v>0</v>
      </c>
      <c r="C1297" s="404" t="s">
        <v>210</v>
      </c>
      <c r="D1297" s="404" t="s">
        <v>333</v>
      </c>
      <c r="E1297" s="405" t="s">
        <v>203</v>
      </c>
      <c r="F1297" s="310" t="s">
        <v>204</v>
      </c>
      <c r="G1297" s="405" t="s">
        <v>1</v>
      </c>
      <c r="H1297" s="41" t="s">
        <v>111</v>
      </c>
      <c r="I1297" s="406" t="s">
        <v>112</v>
      </c>
    </row>
    <row r="1298" spans="2:9" ht="13.2">
      <c r="B1298" s="367" t="s">
        <v>247</v>
      </c>
      <c r="C1298" s="375" t="s">
        <v>171</v>
      </c>
      <c r="D1298" s="374"/>
      <c r="E1298" s="376" t="s">
        <v>14</v>
      </c>
      <c r="F1298" s="377"/>
      <c r="G1298" s="378"/>
      <c r="H1298" s="379"/>
      <c r="I1298" s="380"/>
    </row>
    <row r="1299" spans="2:9" ht="13.2">
      <c r="B1299" s="367"/>
      <c r="C1299" s="415"/>
      <c r="D1299" s="416"/>
      <c r="E1299" s="417" t="s">
        <v>437</v>
      </c>
      <c r="F1299" s="418"/>
      <c r="G1299" s="430"/>
      <c r="H1299" s="420"/>
      <c r="I1299" s="421"/>
    </row>
    <row r="1300" spans="2:9" ht="22.8">
      <c r="B1300" s="368" t="s">
        <v>249</v>
      </c>
      <c r="C1300" s="66"/>
      <c r="D1300" s="66"/>
      <c r="E1300" s="67" t="s">
        <v>160</v>
      </c>
      <c r="F1300" s="62" t="s">
        <v>17</v>
      </c>
      <c r="G1300" s="68">
        <v>52</v>
      </c>
      <c r="H1300" s="69">
        <f t="shared" ref="H1300:H1362" si="117">L1300*$K$5</f>
        <v>0</v>
      </c>
      <c r="I1300" s="70">
        <f>ROUND($G1300*H1300,2)</f>
        <v>0</v>
      </c>
    </row>
    <row r="1301" spans="2:9" ht="13.2">
      <c r="B1301" s="367" t="s">
        <v>250</v>
      </c>
      <c r="C1301" s="375" t="s">
        <v>172</v>
      </c>
      <c r="D1301" s="374"/>
      <c r="E1301" s="376" t="s">
        <v>20</v>
      </c>
      <c r="F1301" s="377"/>
      <c r="G1301" s="378"/>
      <c r="H1301" s="380"/>
      <c r="I1301" s="380"/>
    </row>
    <row r="1302" spans="2:9" ht="24">
      <c r="B1302" s="367"/>
      <c r="C1302" s="71"/>
      <c r="D1302" s="72"/>
      <c r="E1302" s="73" t="s">
        <v>241</v>
      </c>
      <c r="F1302" s="30"/>
      <c r="G1302" s="40"/>
      <c r="H1302" s="32"/>
      <c r="I1302" s="32"/>
    </row>
    <row r="1303" spans="2:9" ht="13.2">
      <c r="B1303" s="367" t="s">
        <v>251</v>
      </c>
      <c r="C1303" s="74" t="s">
        <v>173</v>
      </c>
      <c r="D1303" s="75"/>
      <c r="E1303" s="76" t="s">
        <v>115</v>
      </c>
      <c r="F1303" s="62" t="s">
        <v>13</v>
      </c>
      <c r="G1303" s="63" t="s">
        <v>13</v>
      </c>
      <c r="H1303" s="65" t="s">
        <v>13</v>
      </c>
      <c r="I1303" s="65" t="s">
        <v>13</v>
      </c>
    </row>
    <row r="1304" spans="2:9" ht="13.2">
      <c r="B1304" s="369"/>
      <c r="C1304" s="77"/>
      <c r="D1304" s="78"/>
      <c r="E1304" s="79" t="s">
        <v>117</v>
      </c>
      <c r="F1304" s="62" t="s">
        <v>13</v>
      </c>
      <c r="G1304" s="63" t="s">
        <v>13</v>
      </c>
      <c r="H1304" s="65" t="s">
        <v>13</v>
      </c>
      <c r="I1304" s="65" t="s">
        <v>13</v>
      </c>
    </row>
    <row r="1305" spans="2:9" ht="13.2">
      <c r="B1305" s="368" t="s">
        <v>252</v>
      </c>
      <c r="C1305" s="66"/>
      <c r="D1305" s="82"/>
      <c r="E1305" s="80" t="s">
        <v>365</v>
      </c>
      <c r="F1305" s="81" t="s">
        <v>23</v>
      </c>
      <c r="G1305" s="68">
        <v>66050</v>
      </c>
      <c r="H1305" s="69">
        <f t="shared" si="117"/>
        <v>0</v>
      </c>
      <c r="I1305" s="70">
        <f t="shared" ref="I1305:I1310" si="118">ROUND($G1305*H1305,2)</f>
        <v>0</v>
      </c>
    </row>
    <row r="1306" spans="2:9" ht="13.2">
      <c r="B1306" s="368" t="s">
        <v>253</v>
      </c>
      <c r="C1306" s="66"/>
      <c r="D1306" s="82"/>
      <c r="E1306" s="80" t="s">
        <v>366</v>
      </c>
      <c r="F1306" s="81" t="s">
        <v>23</v>
      </c>
      <c r="G1306" s="164">
        <v>48820</v>
      </c>
      <c r="H1306" s="69">
        <f t="shared" si="117"/>
        <v>0</v>
      </c>
      <c r="I1306" s="70">
        <f t="shared" si="118"/>
        <v>0</v>
      </c>
    </row>
    <row r="1307" spans="2:9" ht="13.2">
      <c r="B1307" s="368" t="s">
        <v>254</v>
      </c>
      <c r="C1307" s="66"/>
      <c r="D1307" s="82"/>
      <c r="E1307" s="80" t="s">
        <v>163</v>
      </c>
      <c r="F1307" s="81" t="s">
        <v>23</v>
      </c>
      <c r="G1307" s="165">
        <v>2250</v>
      </c>
      <c r="H1307" s="69">
        <f t="shared" si="117"/>
        <v>0</v>
      </c>
      <c r="I1307" s="70">
        <f t="shared" si="118"/>
        <v>0</v>
      </c>
    </row>
    <row r="1308" spans="2:9" ht="13.2">
      <c r="B1308" s="368" t="s">
        <v>255</v>
      </c>
      <c r="C1308" s="66"/>
      <c r="D1308" s="82"/>
      <c r="E1308" s="80" t="s">
        <v>509</v>
      </c>
      <c r="F1308" s="81" t="s">
        <v>23</v>
      </c>
      <c r="G1308" s="68">
        <v>24784</v>
      </c>
      <c r="H1308" s="69">
        <f t="shared" si="117"/>
        <v>0</v>
      </c>
      <c r="I1308" s="70">
        <f t="shared" si="118"/>
        <v>0</v>
      </c>
    </row>
    <row r="1309" spans="2:9" ht="13.2">
      <c r="B1309" s="368" t="s">
        <v>449</v>
      </c>
      <c r="C1309" s="66"/>
      <c r="D1309" s="82"/>
      <c r="E1309" s="80" t="s">
        <v>590</v>
      </c>
      <c r="F1309" s="81" t="s">
        <v>23</v>
      </c>
      <c r="G1309" s="68">
        <v>2250</v>
      </c>
      <c r="H1309" s="69">
        <f t="shared" si="117"/>
        <v>0</v>
      </c>
      <c r="I1309" s="70">
        <f t="shared" si="118"/>
        <v>0</v>
      </c>
    </row>
    <row r="1310" spans="2:9" ht="13.2">
      <c r="B1310" s="368" t="s">
        <v>510</v>
      </c>
      <c r="C1310" s="83"/>
      <c r="D1310" s="84"/>
      <c r="E1310" s="80" t="s">
        <v>591</v>
      </c>
      <c r="F1310" s="81" t="s">
        <v>23</v>
      </c>
      <c r="G1310" s="68">
        <v>2504</v>
      </c>
      <c r="H1310" s="69">
        <f t="shared" si="117"/>
        <v>0</v>
      </c>
      <c r="I1310" s="70">
        <f t="shared" si="118"/>
        <v>0</v>
      </c>
    </row>
    <row r="1311" spans="2:9" ht="13.2">
      <c r="B1311" s="369"/>
      <c r="C1311" s="83"/>
      <c r="D1311" s="84"/>
      <c r="E1311" s="87" t="s">
        <v>26</v>
      </c>
      <c r="F1311" s="81" t="s">
        <v>153</v>
      </c>
      <c r="G1311" s="37"/>
      <c r="H1311" s="182" t="s">
        <v>13</v>
      </c>
      <c r="I1311" s="182" t="s">
        <v>13</v>
      </c>
    </row>
    <row r="1312" spans="2:9" ht="13.2">
      <c r="B1312" s="367" t="s">
        <v>256</v>
      </c>
      <c r="C1312" s="375" t="s">
        <v>174</v>
      </c>
      <c r="D1312" s="374"/>
      <c r="E1312" s="376" t="s">
        <v>27</v>
      </c>
      <c r="F1312" s="377"/>
      <c r="G1312" s="378"/>
      <c r="H1312" s="380"/>
      <c r="I1312" s="380"/>
    </row>
    <row r="1313" spans="2:9" ht="24">
      <c r="B1313" s="367"/>
      <c r="C1313" s="71"/>
      <c r="D1313" s="72"/>
      <c r="E1313" s="73" t="s">
        <v>241</v>
      </c>
      <c r="F1313" s="30"/>
      <c r="G1313" s="40"/>
      <c r="H1313" s="32"/>
      <c r="I1313" s="32"/>
    </row>
    <row r="1314" spans="2:9" ht="13.2">
      <c r="B1314" s="367" t="s">
        <v>257</v>
      </c>
      <c r="C1314" s="74" t="s">
        <v>175</v>
      </c>
      <c r="D1314" s="75"/>
      <c r="E1314" s="76" t="s">
        <v>29</v>
      </c>
      <c r="F1314" s="62" t="s">
        <v>13</v>
      </c>
      <c r="G1314" s="63" t="s">
        <v>13</v>
      </c>
      <c r="H1314" s="65" t="s">
        <v>13</v>
      </c>
      <c r="I1314" s="65" t="s">
        <v>13</v>
      </c>
    </row>
    <row r="1315" spans="2:9" ht="22.8">
      <c r="B1315" s="368" t="s">
        <v>258</v>
      </c>
      <c r="C1315" s="98"/>
      <c r="D1315" s="99"/>
      <c r="E1315" s="76" t="s">
        <v>367</v>
      </c>
      <c r="F1315" s="62" t="s">
        <v>17</v>
      </c>
      <c r="G1315" s="68">
        <v>330</v>
      </c>
      <c r="H1315" s="69">
        <f t="shared" si="117"/>
        <v>0</v>
      </c>
      <c r="I1315" s="70">
        <f>ROUND($G1315*H1315,2)</f>
        <v>0</v>
      </c>
    </row>
    <row r="1316" spans="2:9" ht="13.2">
      <c r="B1316" s="367" t="s">
        <v>259</v>
      </c>
      <c r="C1316" s="66" t="s">
        <v>176</v>
      </c>
      <c r="D1316" s="66"/>
      <c r="E1316" s="90" t="s">
        <v>31</v>
      </c>
      <c r="F1316" s="81" t="s">
        <v>13</v>
      </c>
      <c r="G1316" s="228" t="s">
        <v>13</v>
      </c>
      <c r="H1316" s="69" t="s">
        <v>13</v>
      </c>
      <c r="I1316" s="65" t="s">
        <v>13</v>
      </c>
    </row>
    <row r="1317" spans="2:9" ht="22.8">
      <c r="B1317" s="368" t="s">
        <v>260</v>
      </c>
      <c r="C1317" s="66"/>
      <c r="D1317" s="66"/>
      <c r="E1317" s="67" t="s">
        <v>592</v>
      </c>
      <c r="F1317" s="62" t="s">
        <v>17</v>
      </c>
      <c r="G1317" s="68">
        <v>16</v>
      </c>
      <c r="H1317" s="69">
        <f t="shared" si="117"/>
        <v>0</v>
      </c>
      <c r="I1317" s="70">
        <f>ROUND($G1317*H1317,2)</f>
        <v>0</v>
      </c>
    </row>
    <row r="1318" spans="2:9" ht="13.2">
      <c r="B1318" s="368" t="s">
        <v>369</v>
      </c>
      <c r="C1318" s="66"/>
      <c r="D1318" s="66"/>
      <c r="E1318" s="67" t="s">
        <v>165</v>
      </c>
      <c r="F1318" s="62" t="s">
        <v>17</v>
      </c>
      <c r="G1318" s="68">
        <v>30</v>
      </c>
      <c r="H1318" s="69">
        <f t="shared" si="117"/>
        <v>0</v>
      </c>
      <c r="I1318" s="70">
        <f>ROUND($G1318*H1318,2)</f>
        <v>0</v>
      </c>
    </row>
    <row r="1319" spans="2:9" ht="22.8">
      <c r="B1319" s="368" t="s">
        <v>451</v>
      </c>
      <c r="C1319" s="83"/>
      <c r="D1319" s="83"/>
      <c r="E1319" s="67" t="s">
        <v>370</v>
      </c>
      <c r="F1319" s="62" t="s">
        <v>17</v>
      </c>
      <c r="G1319" s="68">
        <v>1.2</v>
      </c>
      <c r="H1319" s="69">
        <f t="shared" si="117"/>
        <v>0</v>
      </c>
      <c r="I1319" s="70">
        <f>ROUND($G1319*H1319,2)</f>
        <v>0</v>
      </c>
    </row>
    <row r="1320" spans="2:9" ht="13.2">
      <c r="B1320" s="367" t="s">
        <v>261</v>
      </c>
      <c r="C1320" s="66" t="s">
        <v>177</v>
      </c>
      <c r="D1320" s="66"/>
      <c r="E1320" s="90" t="s">
        <v>129</v>
      </c>
      <c r="F1320" s="81" t="s">
        <v>13</v>
      </c>
      <c r="G1320" s="228" t="s">
        <v>13</v>
      </c>
      <c r="H1320" s="69" t="s">
        <v>13</v>
      </c>
      <c r="I1320" s="49" t="s">
        <v>13</v>
      </c>
    </row>
    <row r="1321" spans="2:9" ht="13.2">
      <c r="B1321" s="368" t="s">
        <v>262</v>
      </c>
      <c r="C1321" s="66"/>
      <c r="D1321" s="66"/>
      <c r="E1321" s="67" t="s">
        <v>371</v>
      </c>
      <c r="F1321" s="62" t="s">
        <v>17</v>
      </c>
      <c r="G1321" s="68">
        <v>335</v>
      </c>
      <c r="H1321" s="69">
        <f t="shared" si="117"/>
        <v>0</v>
      </c>
      <c r="I1321" s="70">
        <f>ROUND($G1321*H1321,2)</f>
        <v>0</v>
      </c>
    </row>
    <row r="1322" spans="2:9" ht="13.2">
      <c r="B1322" s="368" t="s">
        <v>515</v>
      </c>
      <c r="C1322" s="83"/>
      <c r="D1322" s="83"/>
      <c r="E1322" s="67" t="s">
        <v>570</v>
      </c>
      <c r="F1322" s="62" t="s">
        <v>17</v>
      </c>
      <c r="G1322" s="68">
        <v>15</v>
      </c>
      <c r="H1322" s="69">
        <f t="shared" si="117"/>
        <v>0</v>
      </c>
      <c r="I1322" s="70">
        <f>ROUND($G1322*H1322,2)</f>
        <v>0</v>
      </c>
    </row>
    <row r="1323" spans="2:9" ht="13.2">
      <c r="B1323" s="367" t="s">
        <v>263</v>
      </c>
      <c r="C1323" s="60" t="s">
        <v>541</v>
      </c>
      <c r="D1323" s="60"/>
      <c r="E1323" s="90" t="s">
        <v>542</v>
      </c>
      <c r="F1323" s="62" t="s">
        <v>13</v>
      </c>
      <c r="G1323" s="63" t="s">
        <v>13</v>
      </c>
      <c r="H1323" s="69" t="s">
        <v>13</v>
      </c>
      <c r="I1323" s="65" t="s">
        <v>13</v>
      </c>
    </row>
    <row r="1324" spans="2:9" ht="22.8">
      <c r="B1324" s="368" t="s">
        <v>264</v>
      </c>
      <c r="C1324" s="66"/>
      <c r="D1324" s="66"/>
      <c r="E1324" s="90" t="s">
        <v>583</v>
      </c>
      <c r="F1324" s="62" t="s">
        <v>17</v>
      </c>
      <c r="G1324" s="93">
        <v>17</v>
      </c>
      <c r="H1324" s="69">
        <f t="shared" si="117"/>
        <v>0</v>
      </c>
      <c r="I1324" s="70">
        <f>ROUND($G1324*H1324,2)</f>
        <v>0</v>
      </c>
    </row>
    <row r="1325" spans="2:9" ht="13.2">
      <c r="B1325" s="368" t="s">
        <v>372</v>
      </c>
      <c r="C1325" s="66"/>
      <c r="D1325" s="66"/>
      <c r="E1325" s="90" t="s">
        <v>518</v>
      </c>
      <c r="F1325" s="62" t="s">
        <v>17</v>
      </c>
      <c r="G1325" s="93">
        <v>168</v>
      </c>
      <c r="H1325" s="69">
        <f t="shared" si="117"/>
        <v>0</v>
      </c>
      <c r="I1325" s="70">
        <f>ROUND($G1325*H1325,2)</f>
        <v>0</v>
      </c>
    </row>
    <row r="1326" spans="2:9" ht="13.2">
      <c r="B1326" s="369"/>
      <c r="C1326" s="62"/>
      <c r="D1326" s="95"/>
      <c r="E1326" s="87" t="s">
        <v>39</v>
      </c>
      <c r="F1326" s="62" t="s">
        <v>153</v>
      </c>
      <c r="G1326" s="96"/>
      <c r="H1326" s="182" t="s">
        <v>13</v>
      </c>
      <c r="I1326" s="182" t="s">
        <v>13</v>
      </c>
    </row>
    <row r="1327" spans="2:9" ht="13.2">
      <c r="B1327" s="367" t="s">
        <v>265</v>
      </c>
      <c r="C1327" s="74" t="s">
        <v>181</v>
      </c>
      <c r="D1327" s="75"/>
      <c r="E1327" s="97" t="s">
        <v>139</v>
      </c>
      <c r="F1327" s="62" t="s">
        <v>13</v>
      </c>
      <c r="G1327" s="63" t="s">
        <v>13</v>
      </c>
      <c r="H1327" s="65" t="s">
        <v>13</v>
      </c>
      <c r="I1327" s="65" t="s">
        <v>13</v>
      </c>
    </row>
    <row r="1328" spans="2:9" ht="22.8">
      <c r="B1328" s="368" t="s">
        <v>266</v>
      </c>
      <c r="C1328" s="98"/>
      <c r="D1328" s="99"/>
      <c r="E1328" s="100" t="s">
        <v>140</v>
      </c>
      <c r="F1328" s="62" t="s">
        <v>17</v>
      </c>
      <c r="G1328" s="68">
        <v>95</v>
      </c>
      <c r="H1328" s="69">
        <f t="shared" si="117"/>
        <v>0</v>
      </c>
      <c r="I1328" s="70">
        <f>ROUND($G1328*H1328,2)</f>
        <v>0</v>
      </c>
    </row>
    <row r="1329" spans="2:9" ht="22.8">
      <c r="B1329" s="368" t="s">
        <v>549</v>
      </c>
      <c r="C1329" s="103"/>
      <c r="D1329" s="104"/>
      <c r="E1329" s="100" t="s">
        <v>141</v>
      </c>
      <c r="F1329" s="62" t="s">
        <v>17</v>
      </c>
      <c r="G1329" s="68">
        <v>2</v>
      </c>
      <c r="H1329" s="69">
        <f t="shared" si="117"/>
        <v>0</v>
      </c>
      <c r="I1329" s="70">
        <f>ROUND($G1329*H1329,2)</f>
        <v>0</v>
      </c>
    </row>
    <row r="1330" spans="2:9" ht="13.2">
      <c r="B1330" s="369"/>
      <c r="C1330" s="103"/>
      <c r="D1330" s="104"/>
      <c r="E1330" s="87" t="s">
        <v>43</v>
      </c>
      <c r="F1330" s="62" t="s">
        <v>153</v>
      </c>
      <c r="G1330" s="39"/>
      <c r="H1330"/>
      <c r="I1330" s="182" t="s">
        <v>13</v>
      </c>
    </row>
    <row r="1331" spans="2:9" ht="13.2">
      <c r="B1331" s="367" t="s">
        <v>267</v>
      </c>
      <c r="C1331" s="74" t="s">
        <v>593</v>
      </c>
      <c r="D1331" s="75"/>
      <c r="E1331" s="97" t="s">
        <v>594</v>
      </c>
      <c r="F1331" s="62" t="s">
        <v>13</v>
      </c>
      <c r="G1331" s="63" t="s">
        <v>13</v>
      </c>
      <c r="H1331" s="69" t="s">
        <v>13</v>
      </c>
      <c r="I1331" s="49" t="s">
        <v>13</v>
      </c>
    </row>
    <row r="1332" spans="2:9" ht="22.8">
      <c r="B1332" s="368" t="s">
        <v>268</v>
      </c>
      <c r="C1332" s="98"/>
      <c r="D1332" s="99"/>
      <c r="E1332" s="100" t="s">
        <v>595</v>
      </c>
      <c r="F1332" s="62" t="s">
        <v>4</v>
      </c>
      <c r="G1332" s="68">
        <v>14</v>
      </c>
      <c r="H1332" s="69">
        <f t="shared" si="117"/>
        <v>0</v>
      </c>
      <c r="I1332" s="70">
        <f>ROUND($G1332*H1332,2)</f>
        <v>0</v>
      </c>
    </row>
    <row r="1333" spans="2:9" ht="22.8">
      <c r="B1333" s="368" t="s">
        <v>453</v>
      </c>
      <c r="C1333" s="103"/>
      <c r="D1333" s="104"/>
      <c r="E1333" s="100" t="s">
        <v>596</v>
      </c>
      <c r="F1333" s="62" t="s">
        <v>4</v>
      </c>
      <c r="G1333" s="68">
        <v>33</v>
      </c>
      <c r="H1333" s="69">
        <f t="shared" si="117"/>
        <v>0</v>
      </c>
      <c r="I1333" s="70">
        <f>ROUND($G1333*H1333,2)</f>
        <v>0</v>
      </c>
    </row>
    <row r="1334" spans="2:9" ht="22.8">
      <c r="B1334" s="368" t="s">
        <v>597</v>
      </c>
      <c r="C1334" s="88"/>
      <c r="D1334" s="89"/>
      <c r="E1334" s="100" t="s">
        <v>598</v>
      </c>
      <c r="F1334" s="62" t="s">
        <v>3</v>
      </c>
      <c r="G1334" s="68">
        <v>44</v>
      </c>
      <c r="H1334" s="69">
        <f t="shared" si="117"/>
        <v>0</v>
      </c>
      <c r="I1334" s="70">
        <f>ROUND($G1334*H1334,2)</f>
        <v>0</v>
      </c>
    </row>
    <row r="1335" spans="2:9" ht="13.2">
      <c r="B1335" s="369"/>
      <c r="C1335" s="103"/>
      <c r="D1335" s="104"/>
      <c r="E1335" s="87" t="s">
        <v>599</v>
      </c>
      <c r="F1335" s="62" t="s">
        <v>153</v>
      </c>
      <c r="G1335" s="39"/>
      <c r="H1335" s="182" t="s">
        <v>13</v>
      </c>
      <c r="I1335" s="182" t="s">
        <v>13</v>
      </c>
    </row>
    <row r="1336" spans="2:9" ht="13.2">
      <c r="B1336" s="367" t="s">
        <v>272</v>
      </c>
      <c r="C1336" s="375" t="s">
        <v>200</v>
      </c>
      <c r="D1336" s="374"/>
      <c r="E1336" s="376" t="s">
        <v>44</v>
      </c>
      <c r="F1336" s="377"/>
      <c r="G1336" s="431"/>
      <c r="H1336" s="380"/>
      <c r="I1336" s="380"/>
    </row>
    <row r="1337" spans="2:9" ht="24">
      <c r="B1337" s="367"/>
      <c r="C1337" s="71"/>
      <c r="D1337" s="72"/>
      <c r="E1337" s="73" t="s">
        <v>241</v>
      </c>
      <c r="F1337" s="30"/>
      <c r="G1337" s="43"/>
      <c r="H1337" s="32"/>
      <c r="I1337" s="32"/>
    </row>
    <row r="1338" spans="2:9" ht="13.2">
      <c r="B1338" s="367" t="s">
        <v>343</v>
      </c>
      <c r="C1338" s="74" t="s">
        <v>167</v>
      </c>
      <c r="D1338" s="74"/>
      <c r="E1338" s="90" t="s">
        <v>132</v>
      </c>
      <c r="F1338" s="62" t="s">
        <v>13</v>
      </c>
      <c r="G1338" s="228" t="s">
        <v>13</v>
      </c>
      <c r="H1338" s="65" t="s">
        <v>13</v>
      </c>
      <c r="I1338" s="65" t="s">
        <v>13</v>
      </c>
    </row>
    <row r="1339" spans="2:9" ht="22.8">
      <c r="B1339" s="368" t="s">
        <v>274</v>
      </c>
      <c r="C1339" s="106" t="s">
        <v>120</v>
      </c>
      <c r="D1339" s="106"/>
      <c r="E1339" s="110" t="s">
        <v>340</v>
      </c>
      <c r="F1339" s="62" t="s">
        <v>4</v>
      </c>
      <c r="G1339" s="68">
        <v>4</v>
      </c>
      <c r="H1339" s="69">
        <f t="shared" si="117"/>
        <v>0</v>
      </c>
      <c r="I1339" s="70">
        <f>ROUND($G1339*H1339,2)</f>
        <v>0</v>
      </c>
    </row>
    <row r="1340" spans="2:9" ht="34.200000000000003">
      <c r="B1340" s="368" t="s">
        <v>373</v>
      </c>
      <c r="C1340" s="106"/>
      <c r="D1340" s="106"/>
      <c r="E1340" s="263" t="s">
        <v>600</v>
      </c>
      <c r="F1340" s="62" t="s">
        <v>4</v>
      </c>
      <c r="G1340" s="68">
        <v>32.4</v>
      </c>
      <c r="H1340" s="69">
        <f t="shared" si="117"/>
        <v>0</v>
      </c>
      <c r="I1340" s="70">
        <f>ROUND($G1340*H1340,2)</f>
        <v>0</v>
      </c>
    </row>
    <row r="1341" spans="2:9" ht="22.8">
      <c r="B1341" s="368" t="s">
        <v>374</v>
      </c>
      <c r="C1341" s="264"/>
      <c r="D1341" s="264"/>
      <c r="E1341" s="265" t="s">
        <v>601</v>
      </c>
      <c r="F1341" s="94" t="s">
        <v>23</v>
      </c>
      <c r="G1341" s="203">
        <v>212</v>
      </c>
      <c r="H1341" s="69">
        <f t="shared" si="117"/>
        <v>0</v>
      </c>
      <c r="I1341" s="70">
        <f>ROUND($G1341*H1341,2)</f>
        <v>0</v>
      </c>
    </row>
    <row r="1342" spans="2:9" ht="22.8">
      <c r="B1342" s="368" t="s">
        <v>519</v>
      </c>
      <c r="C1342" s="74" t="s">
        <v>355</v>
      </c>
      <c r="D1342" s="74"/>
      <c r="E1342" s="110" t="s">
        <v>357</v>
      </c>
      <c r="F1342" s="170" t="s">
        <v>13</v>
      </c>
      <c r="G1342" s="107" t="s">
        <v>13</v>
      </c>
      <c r="H1342" s="69" t="s">
        <v>13</v>
      </c>
      <c r="I1342" s="49" t="s">
        <v>13</v>
      </c>
    </row>
    <row r="1343" spans="2:9" ht="22.8">
      <c r="B1343" s="368" t="s">
        <v>351</v>
      </c>
      <c r="C1343" s="101"/>
      <c r="D1343" s="101"/>
      <c r="E1343" s="90" t="s">
        <v>154</v>
      </c>
      <c r="F1343" s="109" t="s">
        <v>15</v>
      </c>
      <c r="G1343" s="68">
        <v>160</v>
      </c>
      <c r="H1343" s="69">
        <f t="shared" si="117"/>
        <v>0</v>
      </c>
      <c r="I1343" s="70">
        <f>ROUND($G1343*H1343,2)</f>
        <v>0</v>
      </c>
    </row>
    <row r="1344" spans="2:9" ht="13.2">
      <c r="B1344" s="369"/>
      <c r="C1344" s="12"/>
      <c r="D1344" s="25"/>
      <c r="E1344" s="87" t="s">
        <v>46</v>
      </c>
      <c r="F1344" s="13" t="s">
        <v>153</v>
      </c>
      <c r="G1344" s="96"/>
      <c r="H1344" s="182" t="s">
        <v>13</v>
      </c>
      <c r="I1344" s="182" t="s">
        <v>13</v>
      </c>
    </row>
    <row r="1345" spans="2:9" ht="13.2">
      <c r="B1345" s="367" t="s">
        <v>275</v>
      </c>
      <c r="C1345" s="375" t="s">
        <v>201</v>
      </c>
      <c r="D1345" s="374"/>
      <c r="E1345" s="407" t="s">
        <v>380</v>
      </c>
      <c r="F1345" s="377"/>
      <c r="G1345" s="378"/>
      <c r="H1345" s="380"/>
      <c r="I1345" s="380"/>
    </row>
    <row r="1346" spans="2:9" ht="24">
      <c r="B1346" s="367"/>
      <c r="C1346" s="71"/>
      <c r="D1346" s="72"/>
      <c r="E1346" s="73" t="s">
        <v>241</v>
      </c>
      <c r="F1346" s="30"/>
      <c r="G1346" s="43"/>
      <c r="H1346" s="32"/>
      <c r="I1346" s="32"/>
    </row>
    <row r="1347" spans="2:9" ht="13.2">
      <c r="B1347" s="367" t="s">
        <v>276</v>
      </c>
      <c r="C1347" s="60" t="s">
        <v>182</v>
      </c>
      <c r="D1347" s="60"/>
      <c r="E1347" s="90" t="s">
        <v>49</v>
      </c>
      <c r="F1347" s="62" t="s">
        <v>13</v>
      </c>
      <c r="G1347" s="63" t="s">
        <v>13</v>
      </c>
      <c r="H1347" s="65" t="s">
        <v>13</v>
      </c>
      <c r="I1347" s="65" t="s">
        <v>13</v>
      </c>
    </row>
    <row r="1348" spans="2:9" ht="34.200000000000003">
      <c r="B1348" s="368" t="s">
        <v>277</v>
      </c>
      <c r="C1348" s="66"/>
      <c r="D1348" s="66"/>
      <c r="E1348" s="92" t="s">
        <v>602</v>
      </c>
      <c r="F1348" s="62" t="s">
        <v>15</v>
      </c>
      <c r="G1348" s="68">
        <v>2105</v>
      </c>
      <c r="H1348" s="69">
        <f t="shared" si="117"/>
        <v>0</v>
      </c>
      <c r="I1348" s="70">
        <f>ROUND($G1348*H1348,2)</f>
        <v>0</v>
      </c>
    </row>
    <row r="1349" spans="2:9" ht="45.6">
      <c r="B1349" s="368" t="s">
        <v>278</v>
      </c>
      <c r="C1349" s="83"/>
      <c r="D1349" s="83"/>
      <c r="E1349" s="92" t="s">
        <v>149</v>
      </c>
      <c r="F1349" s="62" t="s">
        <v>15</v>
      </c>
      <c r="G1349" s="68">
        <v>40</v>
      </c>
      <c r="H1349" s="69">
        <f t="shared" si="117"/>
        <v>0</v>
      </c>
      <c r="I1349" s="70">
        <f>ROUND($G1349*H1349,2)</f>
        <v>0</v>
      </c>
    </row>
    <row r="1350" spans="2:9" ht="13.2">
      <c r="B1350" s="367" t="s">
        <v>279</v>
      </c>
      <c r="C1350" s="74" t="s">
        <v>168</v>
      </c>
      <c r="D1350" s="74"/>
      <c r="E1350" s="90" t="s">
        <v>155</v>
      </c>
      <c r="F1350" s="81" t="s">
        <v>13</v>
      </c>
      <c r="G1350" s="228" t="s">
        <v>13</v>
      </c>
      <c r="H1350" s="65" t="s">
        <v>13</v>
      </c>
      <c r="I1350" s="65" t="s">
        <v>13</v>
      </c>
    </row>
    <row r="1351" spans="2:9" ht="13.2">
      <c r="B1351" s="368" t="s">
        <v>280</v>
      </c>
      <c r="C1351" s="103"/>
      <c r="D1351" s="103"/>
      <c r="E1351" s="90" t="s">
        <v>150</v>
      </c>
      <c r="F1351" s="62" t="s">
        <v>15</v>
      </c>
      <c r="G1351" s="68">
        <v>165</v>
      </c>
      <c r="H1351" s="69">
        <f t="shared" si="117"/>
        <v>0</v>
      </c>
      <c r="I1351" s="70">
        <f>ROUND($G1351*H1351,2)</f>
        <v>0</v>
      </c>
    </row>
    <row r="1352" spans="2:9" ht="13.2">
      <c r="B1352" s="367" t="s">
        <v>282</v>
      </c>
      <c r="C1352" s="74" t="s">
        <v>183</v>
      </c>
      <c r="D1352" s="74"/>
      <c r="E1352" s="90" t="s">
        <v>54</v>
      </c>
      <c r="F1352" s="81" t="s">
        <v>13</v>
      </c>
      <c r="G1352" s="228" t="s">
        <v>13</v>
      </c>
      <c r="H1352" s="65" t="s">
        <v>13</v>
      </c>
      <c r="I1352" s="65" t="s">
        <v>13</v>
      </c>
    </row>
    <row r="1353" spans="2:9" ht="22.8">
      <c r="B1353" s="368" t="s">
        <v>283</v>
      </c>
      <c r="C1353" s="98"/>
      <c r="D1353" s="98"/>
      <c r="E1353" s="92" t="s">
        <v>156</v>
      </c>
      <c r="F1353" s="62" t="s">
        <v>15</v>
      </c>
      <c r="G1353" s="68">
        <v>110</v>
      </c>
      <c r="H1353" s="69">
        <f t="shared" si="117"/>
        <v>0</v>
      </c>
      <c r="I1353" s="70">
        <f>ROUND($G1353*H1353,2)</f>
        <v>0</v>
      </c>
    </row>
    <row r="1354" spans="2:9" ht="13.2">
      <c r="B1354" s="367" t="s">
        <v>284</v>
      </c>
      <c r="C1354" s="74" t="s">
        <v>184</v>
      </c>
      <c r="D1354" s="74"/>
      <c r="E1354" s="90" t="s">
        <v>121</v>
      </c>
      <c r="F1354" s="81" t="s">
        <v>13</v>
      </c>
      <c r="G1354" s="228" t="s">
        <v>13</v>
      </c>
      <c r="H1354" s="65" t="s">
        <v>13</v>
      </c>
      <c r="I1354" s="49" t="s">
        <v>13</v>
      </c>
    </row>
    <row r="1355" spans="2:9" ht="22.8">
      <c r="B1355" s="368" t="s">
        <v>285</v>
      </c>
      <c r="C1355" s="98"/>
      <c r="D1355" s="98"/>
      <c r="E1355" s="111" t="s">
        <v>122</v>
      </c>
      <c r="F1355" s="83" t="s">
        <v>15</v>
      </c>
      <c r="G1355" s="68">
        <v>232</v>
      </c>
      <c r="H1355" s="69">
        <f t="shared" si="117"/>
        <v>0</v>
      </c>
      <c r="I1355" s="70">
        <f>ROUND($G1355*H1355,2)</f>
        <v>0</v>
      </c>
    </row>
    <row r="1356" spans="2:9" ht="13.2">
      <c r="B1356" s="367" t="s">
        <v>286</v>
      </c>
      <c r="C1356" s="74" t="s">
        <v>185</v>
      </c>
      <c r="D1356" s="74"/>
      <c r="E1356" s="90" t="s">
        <v>151</v>
      </c>
      <c r="F1356" s="81" t="s">
        <v>13</v>
      </c>
      <c r="G1356" s="228" t="s">
        <v>13</v>
      </c>
      <c r="H1356" s="65" t="s">
        <v>13</v>
      </c>
      <c r="I1356" s="65" t="s">
        <v>13</v>
      </c>
    </row>
    <row r="1357" spans="2:9" ht="22.8">
      <c r="B1357" s="368" t="s">
        <v>287</v>
      </c>
      <c r="C1357" s="98"/>
      <c r="D1357" s="98"/>
      <c r="E1357" s="90" t="s">
        <v>152</v>
      </c>
      <c r="F1357" s="83" t="s">
        <v>15</v>
      </c>
      <c r="G1357" s="68">
        <v>220</v>
      </c>
      <c r="H1357" s="69">
        <f t="shared" si="117"/>
        <v>0</v>
      </c>
      <c r="I1357" s="70">
        <f>ROUND($G1357*H1357,2)</f>
        <v>0</v>
      </c>
    </row>
    <row r="1358" spans="2:9" ht="13.2">
      <c r="B1358" s="369"/>
      <c r="C1358" s="12"/>
      <c r="D1358" s="25"/>
      <c r="E1358" s="87" t="s">
        <v>58</v>
      </c>
      <c r="F1358" s="13" t="s">
        <v>153</v>
      </c>
      <c r="G1358" s="96"/>
      <c r="H1358" s="182" t="s">
        <v>13</v>
      </c>
      <c r="I1358" s="182" t="s">
        <v>13</v>
      </c>
    </row>
    <row r="1359" spans="2:9" ht="13.2">
      <c r="B1359" s="367" t="s">
        <v>288</v>
      </c>
      <c r="C1359" s="385" t="s">
        <v>186</v>
      </c>
      <c r="D1359" s="386"/>
      <c r="E1359" s="387" t="s">
        <v>81</v>
      </c>
      <c r="F1359" s="388"/>
      <c r="G1359" s="378"/>
      <c r="H1359" s="380"/>
      <c r="I1359" s="380"/>
    </row>
    <row r="1360" spans="2:9" ht="24">
      <c r="B1360" s="367"/>
      <c r="C1360" s="71"/>
      <c r="D1360" s="72"/>
      <c r="E1360" s="73" t="s">
        <v>241</v>
      </c>
      <c r="F1360" s="30"/>
      <c r="G1360" s="231"/>
      <c r="H1360" s="113"/>
      <c r="I1360" s="113"/>
    </row>
    <row r="1361" spans="2:9" ht="13.2">
      <c r="B1361" s="367" t="s">
        <v>289</v>
      </c>
      <c r="C1361" s="74" t="s">
        <v>381</v>
      </c>
      <c r="D1361" s="91"/>
      <c r="E1361" s="172" t="s">
        <v>382</v>
      </c>
      <c r="F1361" s="62" t="s">
        <v>13</v>
      </c>
      <c r="G1361" s="233" t="s">
        <v>13</v>
      </c>
      <c r="H1361" s="65" t="s">
        <v>13</v>
      </c>
      <c r="I1361" s="65" t="s">
        <v>13</v>
      </c>
    </row>
    <row r="1362" spans="2:9" ht="22.8">
      <c r="B1362" s="368" t="s">
        <v>290</v>
      </c>
      <c r="C1362" s="173"/>
      <c r="D1362" s="173"/>
      <c r="E1362" s="67" t="s">
        <v>383</v>
      </c>
      <c r="F1362" s="62" t="s">
        <v>3</v>
      </c>
      <c r="G1362" s="68">
        <v>8</v>
      </c>
      <c r="H1362" s="69">
        <f t="shared" si="117"/>
        <v>0</v>
      </c>
      <c r="I1362" s="70">
        <f>ROUND($G1362*H1362,2)</f>
        <v>0</v>
      </c>
    </row>
    <row r="1363" spans="2:9" ht="13.2">
      <c r="B1363" s="367" t="s">
        <v>384</v>
      </c>
      <c r="C1363" s="74" t="s">
        <v>187</v>
      </c>
      <c r="D1363" s="74"/>
      <c r="E1363" s="61" t="s">
        <v>360</v>
      </c>
      <c r="F1363" s="62" t="s">
        <v>13</v>
      </c>
      <c r="G1363" s="233" t="s">
        <v>13</v>
      </c>
      <c r="H1363" s="65" t="s">
        <v>13</v>
      </c>
      <c r="I1363" s="65" t="s">
        <v>13</v>
      </c>
    </row>
    <row r="1364" spans="2:9" ht="22.8">
      <c r="B1364" s="368" t="s">
        <v>385</v>
      </c>
      <c r="C1364" s="115"/>
      <c r="D1364" s="115"/>
      <c r="E1364" s="67" t="s">
        <v>386</v>
      </c>
      <c r="F1364" s="62" t="s">
        <v>4</v>
      </c>
      <c r="G1364" s="68">
        <v>48</v>
      </c>
      <c r="H1364" s="69">
        <f t="shared" ref="H1364:H1422" si="119">L1364*$K$5</f>
        <v>0</v>
      </c>
      <c r="I1364" s="70">
        <f>ROUND($G1364*H1364,2)</f>
        <v>0</v>
      </c>
    </row>
    <row r="1365" spans="2:9" ht="22.8">
      <c r="B1365" s="368" t="s">
        <v>387</v>
      </c>
      <c r="C1365" s="115"/>
      <c r="D1365" s="115"/>
      <c r="E1365" s="67" t="s">
        <v>388</v>
      </c>
      <c r="F1365" s="62" t="s">
        <v>4</v>
      </c>
      <c r="G1365" s="68">
        <v>12</v>
      </c>
      <c r="H1365" s="69">
        <f t="shared" si="119"/>
        <v>0</v>
      </c>
      <c r="I1365" s="70">
        <f>ROUND($G1365*H1365,2)</f>
        <v>0</v>
      </c>
    </row>
    <row r="1366" spans="2:9" ht="22.8">
      <c r="B1366" s="368" t="s">
        <v>389</v>
      </c>
      <c r="C1366" s="115"/>
      <c r="D1366" s="115"/>
      <c r="E1366" s="116" t="s">
        <v>157</v>
      </c>
      <c r="F1366" s="62" t="s">
        <v>3</v>
      </c>
      <c r="G1366" s="117">
        <v>1</v>
      </c>
      <c r="H1366" s="69">
        <f t="shared" si="119"/>
        <v>0</v>
      </c>
      <c r="I1366" s="70">
        <f>ROUND($G1366*H1366,2)</f>
        <v>0</v>
      </c>
    </row>
    <row r="1367" spans="2:9" ht="13.2">
      <c r="B1367" s="369"/>
      <c r="C1367" s="73"/>
      <c r="D1367" s="118"/>
      <c r="E1367" s="112" t="s">
        <v>85</v>
      </c>
      <c r="F1367" s="13" t="s">
        <v>153</v>
      </c>
      <c r="G1367" s="119"/>
      <c r="H1367" s="182" t="s">
        <v>13</v>
      </c>
      <c r="I1367" s="182" t="s">
        <v>13</v>
      </c>
    </row>
    <row r="1368" spans="2:9" ht="13.2">
      <c r="B1368" s="367" t="s">
        <v>390</v>
      </c>
      <c r="C1368" s="385" t="s">
        <v>391</v>
      </c>
      <c r="D1368" s="386"/>
      <c r="E1368" s="387" t="s">
        <v>392</v>
      </c>
      <c r="F1368" s="388"/>
      <c r="G1368" s="431"/>
      <c r="H1368" s="380"/>
      <c r="I1368" s="380"/>
    </row>
    <row r="1369" spans="2:9" ht="24">
      <c r="B1369" s="367"/>
      <c r="C1369" s="71"/>
      <c r="D1369" s="72"/>
      <c r="E1369" s="73" t="s">
        <v>241</v>
      </c>
      <c r="F1369" s="30"/>
      <c r="G1369" s="43"/>
      <c r="H1369" s="32"/>
      <c r="I1369" s="32"/>
    </row>
    <row r="1370" spans="2:9" ht="13.2">
      <c r="B1370" s="368" t="s">
        <v>603</v>
      </c>
      <c r="C1370" s="74" t="s">
        <v>394</v>
      </c>
      <c r="D1370" s="75"/>
      <c r="E1370" s="122" t="s">
        <v>395</v>
      </c>
      <c r="F1370" s="62" t="s">
        <v>13</v>
      </c>
      <c r="G1370" s="63" t="s">
        <v>13</v>
      </c>
      <c r="H1370" s="49" t="s">
        <v>13</v>
      </c>
      <c r="I1370" s="49" t="s">
        <v>13</v>
      </c>
    </row>
    <row r="1371" spans="2:9" ht="13.2">
      <c r="B1371" s="368" t="s">
        <v>396</v>
      </c>
      <c r="C1371" s="98"/>
      <c r="D1371" s="99"/>
      <c r="E1371" s="122" t="s">
        <v>397</v>
      </c>
      <c r="F1371" s="62" t="s">
        <v>13</v>
      </c>
      <c r="G1371" s="63" t="s">
        <v>13</v>
      </c>
      <c r="H1371" s="49" t="s">
        <v>13</v>
      </c>
      <c r="I1371" s="49" t="s">
        <v>13</v>
      </c>
    </row>
    <row r="1372" spans="2:9" ht="13.2">
      <c r="B1372" s="368" t="s">
        <v>398</v>
      </c>
      <c r="C1372" s="103"/>
      <c r="D1372" s="104"/>
      <c r="E1372" s="80" t="s">
        <v>604</v>
      </c>
      <c r="F1372" s="62" t="s">
        <v>3</v>
      </c>
      <c r="G1372" s="68">
        <v>2</v>
      </c>
      <c r="H1372" s="69">
        <f t="shared" si="119"/>
        <v>0</v>
      </c>
      <c r="I1372" s="70">
        <f>ROUND($G1372*H1372,2)</f>
        <v>0</v>
      </c>
    </row>
    <row r="1373" spans="2:9" ht="13.2">
      <c r="B1373" s="368" t="s">
        <v>400</v>
      </c>
      <c r="C1373" s="103"/>
      <c r="D1373" s="104"/>
      <c r="E1373" s="80" t="s">
        <v>605</v>
      </c>
      <c r="F1373" s="62" t="s">
        <v>3</v>
      </c>
      <c r="G1373" s="68">
        <v>2</v>
      </c>
      <c r="H1373" s="69">
        <f t="shared" si="119"/>
        <v>0</v>
      </c>
      <c r="I1373" s="70">
        <f>ROUND($G1373*H1373,2)</f>
        <v>0</v>
      </c>
    </row>
    <row r="1374" spans="2:9" ht="13.2">
      <c r="B1374" s="368" t="s">
        <v>402</v>
      </c>
      <c r="C1374" s="101"/>
      <c r="D1374" s="102"/>
      <c r="E1374" s="80" t="s">
        <v>606</v>
      </c>
      <c r="F1374" s="62" t="s">
        <v>3</v>
      </c>
      <c r="G1374" s="68">
        <v>4</v>
      </c>
      <c r="H1374" s="69">
        <f t="shared" si="119"/>
        <v>0</v>
      </c>
      <c r="I1374" s="70">
        <f>ROUND($G1374*H1374,2)</f>
        <v>0</v>
      </c>
    </row>
    <row r="1375" spans="2:9" ht="13.2">
      <c r="B1375" s="369"/>
      <c r="C1375" s="12"/>
      <c r="D1375" s="25"/>
      <c r="E1375" s="87" t="s">
        <v>404</v>
      </c>
      <c r="F1375" s="13" t="s">
        <v>153</v>
      </c>
      <c r="G1375" s="119"/>
      <c r="H1375" s="182" t="s">
        <v>13</v>
      </c>
      <c r="I1375" s="182" t="s">
        <v>13</v>
      </c>
    </row>
    <row r="1376" spans="2:9" ht="13.2">
      <c r="B1376" s="367" t="s">
        <v>292</v>
      </c>
      <c r="C1376" s="375" t="s">
        <v>188</v>
      </c>
      <c r="D1376" s="374"/>
      <c r="E1376" s="376" t="s">
        <v>59</v>
      </c>
      <c r="F1376" s="377"/>
      <c r="G1376" s="378"/>
      <c r="H1376" s="380"/>
      <c r="I1376" s="380"/>
    </row>
    <row r="1377" spans="2:9" ht="24">
      <c r="B1377" s="367"/>
      <c r="C1377" s="71"/>
      <c r="D1377" s="72"/>
      <c r="E1377" s="73" t="s">
        <v>241</v>
      </c>
      <c r="F1377" s="30"/>
      <c r="G1377" s="43"/>
      <c r="H1377" s="32"/>
      <c r="I1377" s="32"/>
    </row>
    <row r="1378" spans="2:9" ht="13.2">
      <c r="B1378" s="367" t="s">
        <v>293</v>
      </c>
      <c r="C1378" s="120" t="s">
        <v>405</v>
      </c>
      <c r="D1378" s="121"/>
      <c r="E1378" s="122" t="s">
        <v>406</v>
      </c>
      <c r="F1378" s="62" t="s">
        <v>13</v>
      </c>
      <c r="G1378" s="63" t="s">
        <v>13</v>
      </c>
      <c r="H1378" s="65" t="s">
        <v>13</v>
      </c>
      <c r="I1378" s="65" t="s">
        <v>13</v>
      </c>
    </row>
    <row r="1379" spans="2:9" ht="57">
      <c r="B1379" s="368" t="s">
        <v>294</v>
      </c>
      <c r="C1379" s="123"/>
      <c r="D1379" s="124"/>
      <c r="E1379" s="80" t="s">
        <v>407</v>
      </c>
      <c r="F1379" s="81" t="s">
        <v>4</v>
      </c>
      <c r="G1379" s="68">
        <v>24.6</v>
      </c>
      <c r="H1379" s="69">
        <f t="shared" si="119"/>
        <v>0</v>
      </c>
      <c r="I1379" s="70">
        <f>ROUND($G1379*H1379,2)</f>
        <v>0</v>
      </c>
    </row>
    <row r="1380" spans="2:9" ht="13.2">
      <c r="B1380" s="367" t="s">
        <v>408</v>
      </c>
      <c r="C1380" s="120" t="s">
        <v>189</v>
      </c>
      <c r="D1380" s="121"/>
      <c r="E1380" s="122" t="s">
        <v>60</v>
      </c>
      <c r="F1380" s="62" t="s">
        <v>13</v>
      </c>
      <c r="G1380" s="63" t="s">
        <v>13</v>
      </c>
      <c r="H1380" s="65" t="s">
        <v>13</v>
      </c>
      <c r="I1380" s="65" t="s">
        <v>13</v>
      </c>
    </row>
    <row r="1381" spans="2:9" ht="34.200000000000003">
      <c r="B1381" s="368" t="s">
        <v>409</v>
      </c>
      <c r="C1381" s="123"/>
      <c r="D1381" s="124"/>
      <c r="E1381" s="80" t="s">
        <v>410</v>
      </c>
      <c r="F1381" s="81" t="s">
        <v>4</v>
      </c>
      <c r="G1381" s="68">
        <v>18.8</v>
      </c>
      <c r="H1381" s="69">
        <f t="shared" si="119"/>
        <v>0</v>
      </c>
      <c r="I1381" s="70">
        <f>ROUND($G1381*H1381,2)</f>
        <v>0</v>
      </c>
    </row>
    <row r="1382" spans="2:9" ht="34.200000000000003">
      <c r="B1382" s="368" t="s">
        <v>411</v>
      </c>
      <c r="C1382" s="123"/>
      <c r="D1382" s="124"/>
      <c r="E1382" s="127" t="s">
        <v>525</v>
      </c>
      <c r="F1382" s="81" t="s">
        <v>4</v>
      </c>
      <c r="G1382" s="68">
        <v>15</v>
      </c>
      <c r="H1382" s="69">
        <f t="shared" si="119"/>
        <v>0</v>
      </c>
      <c r="I1382" s="70">
        <f>ROUND($G1382*H1382,2)</f>
        <v>0</v>
      </c>
    </row>
    <row r="1383" spans="2:9" ht="34.200000000000003">
      <c r="B1383" s="368" t="s">
        <v>526</v>
      </c>
      <c r="C1383" s="125"/>
      <c r="D1383" s="126"/>
      <c r="E1383" s="127" t="s">
        <v>144</v>
      </c>
      <c r="F1383" s="128" t="s">
        <v>4</v>
      </c>
      <c r="G1383" s="68">
        <v>15</v>
      </c>
      <c r="H1383" s="69">
        <f t="shared" si="119"/>
        <v>0</v>
      </c>
      <c r="I1383" s="70">
        <f>ROUND($G1383*H1383,2)</f>
        <v>0</v>
      </c>
    </row>
    <row r="1384" spans="2:9" ht="13.2">
      <c r="B1384" s="367" t="s">
        <v>297</v>
      </c>
      <c r="C1384" s="375" t="s">
        <v>190</v>
      </c>
      <c r="D1384" s="374"/>
      <c r="E1384" s="376" t="s">
        <v>62</v>
      </c>
      <c r="F1384" s="377"/>
      <c r="G1384" s="378"/>
      <c r="H1384" s="378"/>
      <c r="I1384" s="380"/>
    </row>
    <row r="1385" spans="2:9" ht="24">
      <c r="B1385" s="367"/>
      <c r="C1385" s="71"/>
      <c r="D1385" s="72"/>
      <c r="E1385" s="73" t="s">
        <v>241</v>
      </c>
      <c r="F1385" s="30"/>
      <c r="G1385" s="40"/>
      <c r="H1385" s="65" t="s">
        <v>13</v>
      </c>
      <c r="I1385" s="32"/>
    </row>
    <row r="1386" spans="2:9" ht="13.2">
      <c r="B1386" s="367" t="s">
        <v>298</v>
      </c>
      <c r="C1386" s="60" t="s">
        <v>191</v>
      </c>
      <c r="D1386" s="60"/>
      <c r="E1386" s="90" t="s">
        <v>244</v>
      </c>
      <c r="F1386" s="62" t="s">
        <v>13</v>
      </c>
      <c r="G1386" s="63" t="s">
        <v>13</v>
      </c>
      <c r="H1386" s="65" t="s">
        <v>13</v>
      </c>
      <c r="I1386" s="65" t="s">
        <v>13</v>
      </c>
    </row>
    <row r="1387" spans="2:9" ht="22.8">
      <c r="B1387" s="368" t="s">
        <v>299</v>
      </c>
      <c r="C1387" s="66"/>
      <c r="D1387" s="66"/>
      <c r="E1387" s="266" t="s">
        <v>607</v>
      </c>
      <c r="F1387" s="132" t="s">
        <v>23</v>
      </c>
      <c r="G1387" s="68">
        <v>870</v>
      </c>
      <c r="H1387" s="69">
        <f t="shared" si="119"/>
        <v>0</v>
      </c>
      <c r="I1387" s="70">
        <f>ROUND($G1387*H1387,2)</f>
        <v>0</v>
      </c>
    </row>
    <row r="1388" spans="2:9" ht="22.8">
      <c r="B1388" s="368" t="s">
        <v>300</v>
      </c>
      <c r="C1388" s="66"/>
      <c r="D1388" s="66"/>
      <c r="E1388" s="133" t="s">
        <v>246</v>
      </c>
      <c r="F1388" s="132" t="s">
        <v>23</v>
      </c>
      <c r="G1388" s="68">
        <v>1550</v>
      </c>
      <c r="H1388" s="69">
        <f t="shared" si="119"/>
        <v>0</v>
      </c>
      <c r="I1388" s="70">
        <f>ROUND($G1388*H1388,2)</f>
        <v>0</v>
      </c>
    </row>
    <row r="1389" spans="2:9" ht="22.8">
      <c r="B1389" s="368" t="s">
        <v>527</v>
      </c>
      <c r="C1389" s="66"/>
      <c r="D1389" s="66"/>
      <c r="E1389" s="216" t="s">
        <v>528</v>
      </c>
      <c r="F1389" s="132" t="s">
        <v>23</v>
      </c>
      <c r="G1389" s="68">
        <v>4850</v>
      </c>
      <c r="H1389" s="69">
        <f t="shared" si="119"/>
        <v>0</v>
      </c>
      <c r="I1389" s="70">
        <f>ROUND($G1389*H1389,2)</f>
        <v>0</v>
      </c>
    </row>
    <row r="1390" spans="2:9" ht="13.2">
      <c r="B1390" s="369"/>
      <c r="C1390" s="12"/>
      <c r="D1390" s="25"/>
      <c r="E1390" s="87" t="s">
        <v>63</v>
      </c>
      <c r="F1390" s="13"/>
      <c r="G1390" s="134"/>
      <c r="H1390" s="182" t="s">
        <v>13</v>
      </c>
      <c r="I1390" s="182" t="s">
        <v>13</v>
      </c>
    </row>
    <row r="1391" spans="2:9" ht="13.2">
      <c r="B1391" s="367" t="s">
        <v>301</v>
      </c>
      <c r="C1391" s="375" t="s">
        <v>192</v>
      </c>
      <c r="D1391" s="374"/>
      <c r="E1391" s="376" t="s">
        <v>64</v>
      </c>
      <c r="F1391" s="377"/>
      <c r="G1391" s="378"/>
      <c r="H1391" s="380"/>
      <c r="I1391" s="380"/>
    </row>
    <row r="1392" spans="2:9" ht="24">
      <c r="B1392" s="367"/>
      <c r="C1392" s="71"/>
      <c r="D1392" s="72"/>
      <c r="E1392" s="73" t="s">
        <v>241</v>
      </c>
      <c r="F1392" s="30"/>
      <c r="G1392" s="40"/>
      <c r="H1392" s="32"/>
      <c r="I1392" s="32"/>
    </row>
    <row r="1393" spans="2:9" ht="13.2">
      <c r="B1393" s="367" t="s">
        <v>302</v>
      </c>
      <c r="C1393" s="60" t="s">
        <v>193</v>
      </c>
      <c r="D1393" s="60"/>
      <c r="E1393" s="135" t="s">
        <v>66</v>
      </c>
      <c r="F1393" s="136" t="s">
        <v>13</v>
      </c>
      <c r="G1393" s="140" t="s">
        <v>13</v>
      </c>
      <c r="H1393" s="65" t="s">
        <v>13</v>
      </c>
      <c r="I1393" s="65" t="s">
        <v>13</v>
      </c>
    </row>
    <row r="1394" spans="2:9" ht="22.8">
      <c r="B1394" s="368" t="s">
        <v>303</v>
      </c>
      <c r="C1394" s="83"/>
      <c r="D1394" s="83"/>
      <c r="E1394" s="116" t="s">
        <v>158</v>
      </c>
      <c r="F1394" s="137" t="s">
        <v>16</v>
      </c>
      <c r="G1394" s="68">
        <v>180</v>
      </c>
      <c r="H1394" s="69">
        <f t="shared" si="119"/>
        <v>0</v>
      </c>
      <c r="I1394" s="70">
        <f>ROUND($G1394*H1394,2)</f>
        <v>0</v>
      </c>
    </row>
    <row r="1395" spans="2:9" ht="13.2">
      <c r="B1395" s="367" t="s">
        <v>304</v>
      </c>
      <c r="C1395" s="74" t="s">
        <v>194</v>
      </c>
      <c r="D1395" s="74"/>
      <c r="E1395" s="135" t="s">
        <v>68</v>
      </c>
      <c r="F1395" s="136" t="s">
        <v>13</v>
      </c>
      <c r="G1395" s="140" t="s">
        <v>13</v>
      </c>
      <c r="H1395" s="65" t="s">
        <v>13</v>
      </c>
      <c r="I1395" s="65" t="s">
        <v>13</v>
      </c>
    </row>
    <row r="1396" spans="2:9" ht="34.799999999999997">
      <c r="B1396" s="368" t="s">
        <v>305</v>
      </c>
      <c r="C1396" s="98"/>
      <c r="D1396" s="98"/>
      <c r="E1396" s="116" t="s">
        <v>554</v>
      </c>
      <c r="F1396" s="136" t="s">
        <v>4</v>
      </c>
      <c r="G1396" s="68">
        <v>26</v>
      </c>
      <c r="H1396" s="69">
        <f t="shared" si="119"/>
        <v>0</v>
      </c>
      <c r="I1396" s="70">
        <f>ROUND($G1396*H1396,2)</f>
        <v>0</v>
      </c>
    </row>
    <row r="1397" spans="2:9" ht="13.2">
      <c r="B1397" s="367" t="s">
        <v>307</v>
      </c>
      <c r="C1397" s="74" t="s">
        <v>169</v>
      </c>
      <c r="D1397" s="75"/>
      <c r="E1397" s="122" t="s">
        <v>69</v>
      </c>
      <c r="F1397" s="62" t="s">
        <v>13</v>
      </c>
      <c r="G1397" s="63" t="s">
        <v>13</v>
      </c>
      <c r="H1397" s="65" t="s">
        <v>13</v>
      </c>
      <c r="I1397" s="65" t="s">
        <v>13</v>
      </c>
    </row>
    <row r="1398" spans="2:9" ht="34.200000000000003">
      <c r="B1398" s="368" t="s">
        <v>308</v>
      </c>
      <c r="C1398" s="98"/>
      <c r="D1398" s="99"/>
      <c r="E1398" s="80" t="s">
        <v>161</v>
      </c>
      <c r="F1398" s="81" t="s">
        <v>16</v>
      </c>
      <c r="G1398" s="68">
        <v>370</v>
      </c>
      <c r="H1398" s="69">
        <f t="shared" si="119"/>
        <v>0</v>
      </c>
      <c r="I1398" s="70">
        <f>ROUND($G1398*H1398,2)</f>
        <v>0</v>
      </c>
    </row>
    <row r="1399" spans="2:9" ht="22.8">
      <c r="B1399" s="368" t="s">
        <v>309</v>
      </c>
      <c r="C1399" s="98"/>
      <c r="D1399" s="99"/>
      <c r="E1399" s="80" t="s">
        <v>70</v>
      </c>
      <c r="F1399" s="62" t="s">
        <v>4</v>
      </c>
      <c r="G1399" s="68">
        <v>12</v>
      </c>
      <c r="H1399" s="69">
        <f t="shared" si="119"/>
        <v>0</v>
      </c>
      <c r="I1399" s="70">
        <f>ROUND($G1399*H1399,2)</f>
        <v>0</v>
      </c>
    </row>
    <row r="1400" spans="2:9" ht="22.8">
      <c r="B1400" s="368" t="s">
        <v>310</v>
      </c>
      <c r="C1400" s="98"/>
      <c r="D1400" s="98"/>
      <c r="E1400" s="139" t="s">
        <v>142</v>
      </c>
      <c r="F1400" s="62" t="s">
        <v>4</v>
      </c>
      <c r="G1400" s="68">
        <v>40</v>
      </c>
      <c r="H1400" s="69">
        <f t="shared" si="119"/>
        <v>0</v>
      </c>
      <c r="I1400" s="70">
        <f>ROUND($G1400*H1400,2)</f>
        <v>0</v>
      </c>
    </row>
    <row r="1401" spans="2:9" ht="15.6">
      <c r="B1401" s="368" t="s">
        <v>608</v>
      </c>
      <c r="C1401" s="101"/>
      <c r="D1401" s="102"/>
      <c r="E1401" s="80" t="s">
        <v>556</v>
      </c>
      <c r="F1401" s="81" t="s">
        <v>76</v>
      </c>
      <c r="G1401" s="68">
        <v>280</v>
      </c>
      <c r="H1401" s="69">
        <f t="shared" si="119"/>
        <v>0</v>
      </c>
      <c r="I1401" s="70">
        <f>ROUND($G1401*H1401,2)</f>
        <v>0</v>
      </c>
    </row>
    <row r="1402" spans="2:9" ht="13.2">
      <c r="B1402" s="367" t="s">
        <v>311</v>
      </c>
      <c r="C1402" s="60" t="s">
        <v>195</v>
      </c>
      <c r="D1402" s="60"/>
      <c r="E1402" s="90" t="s">
        <v>71</v>
      </c>
      <c r="F1402" s="140" t="s">
        <v>13</v>
      </c>
      <c r="G1402" s="140" t="s">
        <v>13</v>
      </c>
      <c r="H1402" s="65" t="s">
        <v>13</v>
      </c>
      <c r="I1402" s="65" t="s">
        <v>13</v>
      </c>
    </row>
    <row r="1403" spans="2:9" ht="57">
      <c r="B1403" s="368" t="s">
        <v>312</v>
      </c>
      <c r="C1403" s="66"/>
      <c r="D1403" s="66"/>
      <c r="E1403" s="67" t="s">
        <v>127</v>
      </c>
      <c r="F1403" s="81" t="s">
        <v>16</v>
      </c>
      <c r="G1403" s="68">
        <v>450</v>
      </c>
      <c r="H1403" s="69">
        <f t="shared" si="119"/>
        <v>0</v>
      </c>
      <c r="I1403" s="70">
        <f>ROUND($G1403*H1403,2)</f>
        <v>0</v>
      </c>
    </row>
    <row r="1404" spans="2:9" ht="45.6">
      <c r="B1404" s="368" t="s">
        <v>313</v>
      </c>
      <c r="C1404" s="83"/>
      <c r="D1404" s="83"/>
      <c r="E1404" s="67" t="s">
        <v>125</v>
      </c>
      <c r="F1404" s="81" t="s">
        <v>16</v>
      </c>
      <c r="G1404" s="68">
        <v>90</v>
      </c>
      <c r="H1404" s="69">
        <f t="shared" si="119"/>
        <v>0</v>
      </c>
      <c r="I1404" s="70">
        <f>ROUND($G1404*H1404,2)</f>
        <v>0</v>
      </c>
    </row>
    <row r="1405" spans="2:9" ht="13.2">
      <c r="B1405" s="367" t="s">
        <v>314</v>
      </c>
      <c r="C1405" s="60" t="s">
        <v>170</v>
      </c>
      <c r="D1405" s="60"/>
      <c r="E1405" s="61" t="s">
        <v>72</v>
      </c>
      <c r="F1405" s="81" t="s">
        <v>13</v>
      </c>
      <c r="G1405" s="143" t="s">
        <v>13</v>
      </c>
      <c r="H1405" s="65" t="s">
        <v>13</v>
      </c>
      <c r="I1405" s="65" t="s">
        <v>13</v>
      </c>
    </row>
    <row r="1406" spans="2:9" ht="34.200000000000003">
      <c r="B1406" s="368" t="s">
        <v>315</v>
      </c>
      <c r="C1406" s="66"/>
      <c r="D1406" s="66"/>
      <c r="E1406" s="144" t="s">
        <v>148</v>
      </c>
      <c r="F1406" s="81" t="s">
        <v>4</v>
      </c>
      <c r="G1406" s="68">
        <v>8.44</v>
      </c>
      <c r="H1406" s="69">
        <f t="shared" si="119"/>
        <v>0</v>
      </c>
      <c r="I1406" s="70">
        <f>ROUND($G1406*H1406,2)</f>
        <v>0</v>
      </c>
    </row>
    <row r="1407" spans="2:9" ht="22.8">
      <c r="B1407" s="367" t="s">
        <v>316</v>
      </c>
      <c r="C1407" s="60" t="s">
        <v>196</v>
      </c>
      <c r="D1407" s="60"/>
      <c r="E1407" s="145" t="s">
        <v>131</v>
      </c>
      <c r="F1407" s="146" t="s">
        <v>13</v>
      </c>
      <c r="G1407" s="245" t="s">
        <v>13</v>
      </c>
      <c r="H1407" s="65" t="s">
        <v>13</v>
      </c>
      <c r="I1407" s="65" t="s">
        <v>13</v>
      </c>
    </row>
    <row r="1408" spans="2:9" ht="34.200000000000003">
      <c r="B1408" s="368" t="s">
        <v>317</v>
      </c>
      <c r="C1408" s="66"/>
      <c r="D1408" s="66"/>
      <c r="E1408" s="147" t="s">
        <v>529</v>
      </c>
      <c r="F1408" s="146" t="s">
        <v>4</v>
      </c>
      <c r="G1408" s="68">
        <v>13</v>
      </c>
      <c r="H1408" s="69">
        <f t="shared" si="119"/>
        <v>0</v>
      </c>
      <c r="I1408" s="70">
        <f>ROUND($G1408*H1408,2)</f>
        <v>0</v>
      </c>
    </row>
    <row r="1409" spans="2:9" ht="15.6">
      <c r="B1409" s="368" t="s">
        <v>318</v>
      </c>
      <c r="C1409" s="66"/>
      <c r="D1409" s="66"/>
      <c r="E1409" s="147" t="s">
        <v>145</v>
      </c>
      <c r="F1409" s="146" t="s">
        <v>76</v>
      </c>
      <c r="G1409" s="68">
        <v>6</v>
      </c>
      <c r="H1409" s="69">
        <f t="shared" si="119"/>
        <v>0</v>
      </c>
      <c r="I1409" s="70">
        <f>ROUND($G1409*H1409,2)</f>
        <v>0</v>
      </c>
    </row>
    <row r="1410" spans="2:9" ht="22.8">
      <c r="B1410" s="367" t="s">
        <v>320</v>
      </c>
      <c r="C1410" s="217" t="s">
        <v>530</v>
      </c>
      <c r="D1410" s="217"/>
      <c r="E1410" s="110" t="s">
        <v>531</v>
      </c>
      <c r="F1410" s="62" t="s">
        <v>13</v>
      </c>
      <c r="G1410" s="63" t="s">
        <v>13</v>
      </c>
      <c r="H1410" s="65" t="s">
        <v>13</v>
      </c>
      <c r="I1410" s="49" t="s">
        <v>13</v>
      </c>
    </row>
    <row r="1411" spans="2:9" ht="22.8">
      <c r="B1411" s="368" t="s">
        <v>321</v>
      </c>
      <c r="C1411" s="218"/>
      <c r="D1411" s="218"/>
      <c r="E1411" s="131" t="s">
        <v>532</v>
      </c>
      <c r="F1411" s="81" t="s">
        <v>16</v>
      </c>
      <c r="G1411" s="68">
        <v>98</v>
      </c>
      <c r="H1411" s="69">
        <f t="shared" si="119"/>
        <v>0</v>
      </c>
      <c r="I1411" s="70">
        <f>ROUND($G1411*H1411,2)</f>
        <v>0</v>
      </c>
    </row>
    <row r="1412" spans="2:9" ht="22.8">
      <c r="B1412" s="367" t="s">
        <v>323</v>
      </c>
      <c r="C1412" s="74" t="s">
        <v>197</v>
      </c>
      <c r="D1412" s="74"/>
      <c r="E1412" s="148" t="s">
        <v>73</v>
      </c>
      <c r="F1412" s="81" t="s">
        <v>13</v>
      </c>
      <c r="G1412" s="228" t="s">
        <v>13</v>
      </c>
      <c r="H1412" s="65" t="s">
        <v>13</v>
      </c>
      <c r="I1412" s="65" t="s">
        <v>13</v>
      </c>
    </row>
    <row r="1413" spans="2:9" ht="13.2">
      <c r="B1413" s="368" t="s">
        <v>324</v>
      </c>
      <c r="C1413" s="98"/>
      <c r="D1413" s="98"/>
      <c r="E1413" s="149" t="s">
        <v>74</v>
      </c>
      <c r="F1413" s="136" t="s">
        <v>3</v>
      </c>
      <c r="G1413" s="68">
        <v>2</v>
      </c>
      <c r="H1413" s="69">
        <f t="shared" si="119"/>
        <v>0</v>
      </c>
      <c r="I1413" s="70">
        <f>ROUND($G1413*H1413,2)</f>
        <v>0</v>
      </c>
    </row>
    <row r="1414" spans="2:9" ht="22.8">
      <c r="B1414" s="368" t="s">
        <v>534</v>
      </c>
      <c r="C1414" s="101"/>
      <c r="D1414" s="101"/>
      <c r="E1414" s="150" t="s">
        <v>128</v>
      </c>
      <c r="F1414" s="151" t="s">
        <v>3</v>
      </c>
      <c r="G1414" s="68">
        <v>16</v>
      </c>
      <c r="H1414" s="69">
        <f t="shared" si="119"/>
        <v>0</v>
      </c>
      <c r="I1414" s="70">
        <f>ROUND($G1414*H1414,2)</f>
        <v>0</v>
      </c>
    </row>
    <row r="1415" spans="2:9" ht="13.2">
      <c r="B1415" s="367" t="s">
        <v>325</v>
      </c>
      <c r="C1415" s="60" t="s">
        <v>198</v>
      </c>
      <c r="D1415" s="60"/>
      <c r="E1415" s="152" t="s">
        <v>75</v>
      </c>
      <c r="F1415" s="153" t="s">
        <v>13</v>
      </c>
      <c r="G1415" s="235" t="s">
        <v>13</v>
      </c>
      <c r="H1415" s="65" t="s">
        <v>13</v>
      </c>
      <c r="I1415" s="65" t="s">
        <v>13</v>
      </c>
    </row>
    <row r="1416" spans="2:9" ht="13.2">
      <c r="B1416" s="368" t="s">
        <v>326</v>
      </c>
      <c r="C1416" s="83"/>
      <c r="D1416" s="66"/>
      <c r="E1416" s="141" t="s">
        <v>164</v>
      </c>
      <c r="F1416" s="137" t="s">
        <v>16</v>
      </c>
      <c r="G1416" s="68">
        <v>250</v>
      </c>
      <c r="H1416" s="69">
        <f t="shared" si="119"/>
        <v>0</v>
      </c>
      <c r="I1416" s="70">
        <f>ROUND($G1416*H1416,2)</f>
        <v>0</v>
      </c>
    </row>
    <row r="1417" spans="2:9" ht="13.2">
      <c r="B1417" s="367" t="s">
        <v>535</v>
      </c>
      <c r="C1417" s="191" t="s">
        <v>428</v>
      </c>
      <c r="D1417" s="191"/>
      <c r="E1417" s="177" t="s">
        <v>429</v>
      </c>
      <c r="F1417" s="153" t="s">
        <v>13</v>
      </c>
      <c r="G1417" s="267" t="s">
        <v>13</v>
      </c>
      <c r="H1417" s="65" t="s">
        <v>13</v>
      </c>
      <c r="I1417" s="65" t="s">
        <v>13</v>
      </c>
    </row>
    <row r="1418" spans="2:9" ht="13.2">
      <c r="B1418" s="368" t="s">
        <v>434</v>
      </c>
      <c r="C1418" s="219"/>
      <c r="D1418" s="219"/>
      <c r="E1418" s="178" t="s">
        <v>430</v>
      </c>
      <c r="F1418" s="146" t="s">
        <v>4</v>
      </c>
      <c r="G1418" s="68">
        <v>24</v>
      </c>
      <c r="H1418" s="69">
        <f t="shared" si="119"/>
        <v>0</v>
      </c>
      <c r="I1418" s="70">
        <f>ROUND($G1418*H1418,2)</f>
        <v>0</v>
      </c>
    </row>
    <row r="1419" spans="2:9" ht="13.2">
      <c r="B1419" s="368" t="s">
        <v>536</v>
      </c>
      <c r="C1419" s="219"/>
      <c r="D1419" s="219"/>
      <c r="E1419" s="178" t="s">
        <v>537</v>
      </c>
      <c r="F1419" s="146" t="s">
        <v>3</v>
      </c>
      <c r="G1419" s="68">
        <v>4</v>
      </c>
      <c r="H1419" s="69">
        <f t="shared" si="119"/>
        <v>0</v>
      </c>
      <c r="I1419" s="70">
        <f>ROUND($G1419*H1419,2)</f>
        <v>0</v>
      </c>
    </row>
    <row r="1420" spans="2:9" ht="13.2">
      <c r="B1420" s="368" t="s">
        <v>538</v>
      </c>
      <c r="C1420" s="219"/>
      <c r="D1420" s="219"/>
      <c r="E1420" s="178" t="s">
        <v>431</v>
      </c>
      <c r="F1420" s="146" t="s">
        <v>3</v>
      </c>
      <c r="G1420" s="68">
        <v>4</v>
      </c>
      <c r="H1420" s="69">
        <f t="shared" si="119"/>
        <v>0</v>
      </c>
      <c r="I1420" s="70">
        <f>ROUND($G1420*H1420,2)</f>
        <v>0</v>
      </c>
    </row>
    <row r="1421" spans="2:9" ht="13.2">
      <c r="B1421" s="367" t="s">
        <v>539</v>
      </c>
      <c r="C1421" s="60" t="s">
        <v>199</v>
      </c>
      <c r="D1421" s="60"/>
      <c r="E1421" s="152" t="s">
        <v>110</v>
      </c>
      <c r="F1421" s="151" t="s">
        <v>13</v>
      </c>
      <c r="G1421" s="154" t="s">
        <v>13</v>
      </c>
      <c r="H1421" s="65" t="s">
        <v>13</v>
      </c>
      <c r="I1421" s="65" t="s">
        <v>13</v>
      </c>
    </row>
    <row r="1422" spans="2:9" ht="22.8">
      <c r="B1422" s="370" t="s">
        <v>540</v>
      </c>
      <c r="C1422" s="66"/>
      <c r="D1422" s="82"/>
      <c r="E1422" s="155" t="s">
        <v>126</v>
      </c>
      <c r="F1422" s="81" t="s">
        <v>16</v>
      </c>
      <c r="G1422" s="68">
        <v>190</v>
      </c>
      <c r="H1422" s="69">
        <f t="shared" si="119"/>
        <v>0</v>
      </c>
      <c r="I1422" s="70">
        <f>ROUND($G1422*H1422,2)</f>
        <v>0</v>
      </c>
    </row>
    <row r="1423" spans="2:9" ht="13.2">
      <c r="B1423" s="369"/>
      <c r="C1423" s="12"/>
      <c r="D1423" s="25"/>
      <c r="E1423" s="14" t="s">
        <v>77</v>
      </c>
      <c r="F1423" s="13"/>
      <c r="G1423" s="96"/>
      <c r="H1423" s="41" t="s">
        <v>13</v>
      </c>
      <c r="I1423" s="34" t="s">
        <v>13</v>
      </c>
    </row>
    <row r="1424" spans="2:9" ht="13.8">
      <c r="B1424" s="367"/>
      <c r="C1424" s="571" t="s">
        <v>332</v>
      </c>
      <c r="D1424" s="572"/>
      <c r="E1424" s="573"/>
      <c r="F1424" s="7"/>
      <c r="G1424" s="161"/>
      <c r="H1424" s="33" t="s">
        <v>13</v>
      </c>
      <c r="I1424" s="180">
        <f>SUM(I1300:I1422)</f>
        <v>0</v>
      </c>
    </row>
    <row r="1425" spans="2:9" ht="26.4">
      <c r="B1425" s="205" t="s">
        <v>334</v>
      </c>
      <c r="C1425" s="558" t="s">
        <v>609</v>
      </c>
      <c r="D1425" s="559"/>
      <c r="E1425" s="560"/>
      <c r="F1425" s="560"/>
      <c r="G1425" s="560"/>
      <c r="H1425" s="560"/>
      <c r="I1425" s="561"/>
    </row>
    <row r="1426" spans="2:9" ht="24">
      <c r="B1426" s="371" t="s">
        <v>0</v>
      </c>
      <c r="C1426" s="404" t="s">
        <v>210</v>
      </c>
      <c r="D1426" s="404" t="s">
        <v>333</v>
      </c>
      <c r="E1426" s="405" t="s">
        <v>203</v>
      </c>
      <c r="F1426" s="310" t="s">
        <v>204</v>
      </c>
      <c r="G1426" s="405" t="s">
        <v>1</v>
      </c>
      <c r="H1426" s="41" t="s">
        <v>111</v>
      </c>
      <c r="I1426" s="406" t="s">
        <v>112</v>
      </c>
    </row>
    <row r="1427" spans="2:9" ht="13.2">
      <c r="B1427" s="367" t="s">
        <v>247</v>
      </c>
      <c r="C1427" s="375" t="s">
        <v>171</v>
      </c>
      <c r="D1427" s="374"/>
      <c r="E1427" s="376" t="s">
        <v>14</v>
      </c>
      <c r="F1427" s="377"/>
      <c r="G1427" s="378"/>
      <c r="H1427" s="379"/>
      <c r="I1427" s="380"/>
    </row>
    <row r="1428" spans="2:9" ht="13.2">
      <c r="B1428" s="367"/>
      <c r="C1428" s="71"/>
      <c r="D1428" s="72"/>
      <c r="E1428" s="35" t="s">
        <v>437</v>
      </c>
      <c r="F1428" s="30"/>
      <c r="G1428" s="40"/>
      <c r="H1428" s="246"/>
      <c r="I1428" s="36"/>
    </row>
    <row r="1429" spans="2:9" ht="13.2">
      <c r="B1429" s="368" t="s">
        <v>610</v>
      </c>
      <c r="C1429" s="66"/>
      <c r="D1429" s="66"/>
      <c r="E1429" s="67" t="s">
        <v>611</v>
      </c>
      <c r="F1429" s="62" t="s">
        <v>15</v>
      </c>
      <c r="G1429" s="68">
        <v>572</v>
      </c>
      <c r="H1429" s="186">
        <f>L1429*$K$5</f>
        <v>0</v>
      </c>
      <c r="I1429" s="70">
        <f>ROUND($G1429*H1429,2)</f>
        <v>0</v>
      </c>
    </row>
    <row r="1430" spans="2:9" ht="13.2">
      <c r="B1430" s="369"/>
      <c r="C1430" s="129"/>
      <c r="D1430" s="130"/>
      <c r="E1430" s="87" t="s">
        <v>447</v>
      </c>
      <c r="F1430" s="13" t="s">
        <v>153</v>
      </c>
      <c r="G1430" s="134"/>
      <c r="H1430" s="184"/>
      <c r="I1430" s="319"/>
    </row>
    <row r="1431" spans="2:9" ht="13.2">
      <c r="B1431" s="367" t="s">
        <v>250</v>
      </c>
      <c r="C1431" s="375" t="s">
        <v>172</v>
      </c>
      <c r="D1431" s="374"/>
      <c r="E1431" s="376" t="s">
        <v>20</v>
      </c>
      <c r="F1431" s="377"/>
      <c r="G1431" s="378"/>
      <c r="H1431" s="382"/>
      <c r="I1431" s="396"/>
    </row>
    <row r="1432" spans="2:9" ht="24">
      <c r="B1432" s="367"/>
      <c r="C1432" s="71"/>
      <c r="D1432" s="72"/>
      <c r="E1432" s="73" t="s">
        <v>241</v>
      </c>
      <c r="F1432" s="30"/>
      <c r="G1432" s="40"/>
      <c r="H1432" s="184"/>
      <c r="I1432" s="36"/>
    </row>
    <row r="1433" spans="2:9" ht="13.2">
      <c r="B1433" s="367" t="s">
        <v>251</v>
      </c>
      <c r="C1433" s="74" t="s">
        <v>173</v>
      </c>
      <c r="D1433" s="75"/>
      <c r="E1433" s="76" t="s">
        <v>115</v>
      </c>
      <c r="F1433" s="62" t="s">
        <v>13</v>
      </c>
      <c r="G1433" s="63" t="s">
        <v>13</v>
      </c>
      <c r="H1433" s="189" t="s">
        <v>13</v>
      </c>
      <c r="I1433" s="269" t="s">
        <v>13</v>
      </c>
    </row>
    <row r="1434" spans="2:9" ht="13.2">
      <c r="B1434" s="369"/>
      <c r="C1434" s="77"/>
      <c r="D1434" s="78"/>
      <c r="E1434" s="79" t="s">
        <v>117</v>
      </c>
      <c r="F1434" s="62" t="s">
        <v>13</v>
      </c>
      <c r="G1434" s="63" t="s">
        <v>13</v>
      </c>
      <c r="H1434" s="69" t="s">
        <v>13</v>
      </c>
      <c r="I1434" s="269" t="s">
        <v>13</v>
      </c>
    </row>
    <row r="1435" spans="2:9" ht="13.2">
      <c r="B1435" s="368" t="s">
        <v>252</v>
      </c>
      <c r="C1435" s="66"/>
      <c r="D1435" s="82"/>
      <c r="E1435" s="80" t="s">
        <v>365</v>
      </c>
      <c r="F1435" s="81" t="s">
        <v>23</v>
      </c>
      <c r="G1435" s="68">
        <v>53856</v>
      </c>
      <c r="H1435" s="69">
        <f t="shared" ref="H1435:H1493" si="120">L1435*$K$5</f>
        <v>0</v>
      </c>
      <c r="I1435" s="70">
        <f>ROUND($G1435*H1435,2)</f>
        <v>0</v>
      </c>
    </row>
    <row r="1436" spans="2:9" ht="13.2">
      <c r="B1436" s="368" t="s">
        <v>253</v>
      </c>
      <c r="C1436" s="66"/>
      <c r="D1436" s="82"/>
      <c r="E1436" s="80" t="s">
        <v>366</v>
      </c>
      <c r="F1436" s="81" t="s">
        <v>23</v>
      </c>
      <c r="G1436" s="164">
        <v>118530</v>
      </c>
      <c r="H1436" s="69">
        <f t="shared" si="120"/>
        <v>0</v>
      </c>
      <c r="I1436" s="70">
        <f>ROUND($G1436*H1436,2)</f>
        <v>0</v>
      </c>
    </row>
    <row r="1437" spans="2:9" ht="13.2">
      <c r="B1437" s="368" t="s">
        <v>254</v>
      </c>
      <c r="C1437" s="83"/>
      <c r="D1437" s="84"/>
      <c r="E1437" s="80" t="s">
        <v>163</v>
      </c>
      <c r="F1437" s="81" t="s">
        <v>23</v>
      </c>
      <c r="G1437" s="165">
        <v>1398</v>
      </c>
      <c r="H1437" s="186">
        <f t="shared" si="120"/>
        <v>0</v>
      </c>
      <c r="I1437" s="70">
        <f>ROUND($G1437*H1437,2)</f>
        <v>0</v>
      </c>
    </row>
    <row r="1438" spans="2:9" ht="13.2">
      <c r="B1438" s="369"/>
      <c r="C1438" s="83"/>
      <c r="D1438" s="84"/>
      <c r="E1438" s="87" t="s">
        <v>26</v>
      </c>
      <c r="F1438" s="81" t="s">
        <v>153</v>
      </c>
      <c r="G1438" s="37"/>
      <c r="H1438" s="184"/>
      <c r="I1438" s="320"/>
    </row>
    <row r="1439" spans="2:9" ht="13.2">
      <c r="B1439" s="367" t="s">
        <v>256</v>
      </c>
      <c r="C1439" s="375" t="s">
        <v>174</v>
      </c>
      <c r="D1439" s="374"/>
      <c r="E1439" s="376" t="s">
        <v>27</v>
      </c>
      <c r="F1439" s="377"/>
      <c r="G1439" s="378"/>
      <c r="H1439" s="382"/>
      <c r="I1439" s="396"/>
    </row>
    <row r="1440" spans="2:9" ht="24">
      <c r="B1440" s="367"/>
      <c r="C1440" s="71"/>
      <c r="D1440" s="72"/>
      <c r="E1440" s="73" t="s">
        <v>241</v>
      </c>
      <c r="F1440" s="30"/>
      <c r="G1440" s="40"/>
      <c r="H1440" s="184"/>
      <c r="I1440" s="36"/>
    </row>
    <row r="1441" spans="2:9" ht="13.2">
      <c r="B1441" s="367" t="s">
        <v>257</v>
      </c>
      <c r="C1441" s="74" t="s">
        <v>175</v>
      </c>
      <c r="D1441" s="75"/>
      <c r="E1441" s="76" t="s">
        <v>29</v>
      </c>
      <c r="F1441" s="62" t="s">
        <v>13</v>
      </c>
      <c r="G1441" s="63" t="s">
        <v>13</v>
      </c>
      <c r="H1441" s="189" t="s">
        <v>13</v>
      </c>
      <c r="I1441" s="269" t="s">
        <v>13</v>
      </c>
    </row>
    <row r="1442" spans="2:9" ht="22.8">
      <c r="B1442" s="368" t="s">
        <v>258</v>
      </c>
      <c r="C1442" s="98"/>
      <c r="D1442" s="99"/>
      <c r="E1442" s="76" t="s">
        <v>367</v>
      </c>
      <c r="F1442" s="62" t="s">
        <v>17</v>
      </c>
      <c r="G1442" s="68">
        <v>399</v>
      </c>
      <c r="H1442" s="69">
        <f t="shared" si="120"/>
        <v>0</v>
      </c>
      <c r="I1442" s="70">
        <f>ROUND($G1442*H1442,2)</f>
        <v>0</v>
      </c>
    </row>
    <row r="1443" spans="2:9" ht="13.2">
      <c r="B1443" s="367" t="s">
        <v>259</v>
      </c>
      <c r="C1443" s="66" t="s">
        <v>176</v>
      </c>
      <c r="D1443" s="66"/>
      <c r="E1443" s="90" t="s">
        <v>31</v>
      </c>
      <c r="F1443" s="81" t="s">
        <v>13</v>
      </c>
      <c r="G1443" s="228" t="s">
        <v>13</v>
      </c>
      <c r="H1443" s="69" t="s">
        <v>13</v>
      </c>
      <c r="I1443" s="269" t="s">
        <v>13</v>
      </c>
    </row>
    <row r="1444" spans="2:9" ht="13.2">
      <c r="B1444" s="368" t="s">
        <v>260</v>
      </c>
      <c r="C1444" s="66"/>
      <c r="D1444" s="66"/>
      <c r="E1444" s="67" t="s">
        <v>450</v>
      </c>
      <c r="F1444" s="62" t="s">
        <v>17</v>
      </c>
      <c r="G1444" s="68">
        <v>45</v>
      </c>
      <c r="H1444" s="69">
        <f t="shared" si="120"/>
        <v>0</v>
      </c>
      <c r="I1444" s="70">
        <f>ROUND($G1444*H1444,2)</f>
        <v>0</v>
      </c>
    </row>
    <row r="1445" spans="2:9" ht="13.2">
      <c r="B1445" s="368" t="s">
        <v>369</v>
      </c>
      <c r="C1445" s="66"/>
      <c r="D1445" s="66"/>
      <c r="E1445" s="67" t="s">
        <v>165</v>
      </c>
      <c r="F1445" s="62" t="s">
        <v>17</v>
      </c>
      <c r="G1445" s="68">
        <v>23.5</v>
      </c>
      <c r="H1445" s="69">
        <f t="shared" si="120"/>
        <v>0</v>
      </c>
      <c r="I1445" s="70">
        <f>ROUND($G1445*H1445,2)</f>
        <v>0</v>
      </c>
    </row>
    <row r="1446" spans="2:9" ht="22.8">
      <c r="B1446" s="368" t="s">
        <v>451</v>
      </c>
      <c r="C1446" s="83"/>
      <c r="D1446" s="83"/>
      <c r="E1446" s="67" t="s">
        <v>370</v>
      </c>
      <c r="F1446" s="62" t="s">
        <v>17</v>
      </c>
      <c r="G1446" s="68">
        <v>1.5</v>
      </c>
      <c r="H1446" s="69">
        <f t="shared" si="120"/>
        <v>0</v>
      </c>
      <c r="I1446" s="70">
        <f>ROUND($G1446*H1446,2)</f>
        <v>0</v>
      </c>
    </row>
    <row r="1447" spans="2:9" ht="13.2">
      <c r="B1447" s="367" t="s">
        <v>261</v>
      </c>
      <c r="C1447" s="66" t="s">
        <v>177</v>
      </c>
      <c r="D1447" s="66"/>
      <c r="E1447" s="90" t="s">
        <v>129</v>
      </c>
      <c r="F1447" s="81" t="s">
        <v>13</v>
      </c>
      <c r="G1447" s="228" t="s">
        <v>13</v>
      </c>
      <c r="H1447" s="69" t="s">
        <v>13</v>
      </c>
      <c r="I1447" s="48" t="s">
        <v>13</v>
      </c>
    </row>
    <row r="1448" spans="2:9" ht="13.2">
      <c r="B1448" s="368" t="s">
        <v>262</v>
      </c>
      <c r="C1448" s="66"/>
      <c r="D1448" s="66"/>
      <c r="E1448" s="67" t="s">
        <v>371</v>
      </c>
      <c r="F1448" s="62" t="s">
        <v>17</v>
      </c>
      <c r="G1448" s="68">
        <v>878</v>
      </c>
      <c r="H1448" s="69">
        <f t="shared" si="120"/>
        <v>0</v>
      </c>
      <c r="I1448" s="70">
        <f>ROUND($G1448*H1448,2)</f>
        <v>0</v>
      </c>
    </row>
    <row r="1449" spans="2:9" ht="13.2">
      <c r="B1449" s="369"/>
      <c r="C1449" s="62"/>
      <c r="D1449" s="95"/>
      <c r="E1449" s="87" t="s">
        <v>39</v>
      </c>
      <c r="F1449" s="62" t="s">
        <v>153</v>
      </c>
      <c r="G1449" s="96"/>
      <c r="H1449"/>
      <c r="I1449" s="207"/>
    </row>
    <row r="1450" spans="2:9" ht="13.2">
      <c r="B1450" s="367" t="s">
        <v>263</v>
      </c>
      <c r="C1450" s="74" t="s">
        <v>181</v>
      </c>
      <c r="D1450" s="75"/>
      <c r="E1450" s="97" t="s">
        <v>139</v>
      </c>
      <c r="F1450" s="62" t="s">
        <v>13</v>
      </c>
      <c r="G1450" s="63" t="s">
        <v>13</v>
      </c>
      <c r="H1450" s="69" t="s">
        <v>13</v>
      </c>
      <c r="I1450" s="269" t="s">
        <v>13</v>
      </c>
    </row>
    <row r="1451" spans="2:9" ht="22.8">
      <c r="B1451" s="368" t="s">
        <v>264</v>
      </c>
      <c r="C1451" s="98"/>
      <c r="D1451" s="99"/>
      <c r="E1451" s="100" t="s">
        <v>140</v>
      </c>
      <c r="F1451" s="62" t="s">
        <v>17</v>
      </c>
      <c r="G1451" s="68">
        <v>18</v>
      </c>
      <c r="H1451" s="69">
        <f t="shared" si="120"/>
        <v>0</v>
      </c>
      <c r="I1451" s="70">
        <f>ROUND($G1451*H1451,2)</f>
        <v>0</v>
      </c>
    </row>
    <row r="1452" spans="2:9" ht="22.8">
      <c r="B1452" s="368" t="s">
        <v>372</v>
      </c>
      <c r="C1452" s="103"/>
      <c r="D1452" s="104"/>
      <c r="E1452" s="100" t="s">
        <v>141</v>
      </c>
      <c r="F1452" s="62" t="s">
        <v>17</v>
      </c>
      <c r="G1452" s="68">
        <v>10</v>
      </c>
      <c r="H1452" s="69">
        <f t="shared" si="120"/>
        <v>0</v>
      </c>
      <c r="I1452" s="70">
        <f>ROUND($G1452*H1452,2)</f>
        <v>0</v>
      </c>
    </row>
    <row r="1453" spans="2:9" ht="13.2">
      <c r="B1453" s="369"/>
      <c r="C1453" s="103"/>
      <c r="D1453" s="104"/>
      <c r="E1453" s="87" t="s">
        <v>43</v>
      </c>
      <c r="F1453" s="62" t="s">
        <v>153</v>
      </c>
      <c r="G1453" s="39"/>
      <c r="H1453"/>
      <c r="I1453" s="42"/>
    </row>
    <row r="1454" spans="2:9" ht="13.2">
      <c r="B1454" s="367" t="s">
        <v>272</v>
      </c>
      <c r="C1454" s="375" t="s">
        <v>200</v>
      </c>
      <c r="D1454" s="374"/>
      <c r="E1454" s="376" t="s">
        <v>44</v>
      </c>
      <c r="F1454" s="377"/>
      <c r="G1454" s="431"/>
      <c r="H1454" s="389"/>
      <c r="I1454" s="380"/>
    </row>
    <row r="1455" spans="2:9" ht="24">
      <c r="B1455" s="367"/>
      <c r="C1455" s="71"/>
      <c r="D1455" s="72"/>
      <c r="E1455" s="73" t="s">
        <v>241</v>
      </c>
      <c r="F1455" s="30"/>
      <c r="G1455" s="43"/>
      <c r="H1455"/>
      <c r="I1455" s="36"/>
    </row>
    <row r="1456" spans="2:9" ht="13.2">
      <c r="B1456" s="367" t="s">
        <v>343</v>
      </c>
      <c r="C1456" s="74" t="s">
        <v>167</v>
      </c>
      <c r="D1456" s="74"/>
      <c r="E1456" s="90" t="s">
        <v>132</v>
      </c>
      <c r="F1456" s="62" t="s">
        <v>13</v>
      </c>
      <c r="G1456" s="228" t="s">
        <v>13</v>
      </c>
      <c r="H1456" s="69" t="s">
        <v>13</v>
      </c>
      <c r="I1456" s="269" t="s">
        <v>13</v>
      </c>
    </row>
    <row r="1457" spans="2:9" ht="22.8">
      <c r="B1457" s="368" t="s">
        <v>274</v>
      </c>
      <c r="C1457" s="106" t="s">
        <v>120</v>
      </c>
      <c r="D1457" s="106"/>
      <c r="E1457" s="110" t="s">
        <v>340</v>
      </c>
      <c r="F1457" s="62" t="s">
        <v>4</v>
      </c>
      <c r="G1457" s="68">
        <v>19.600000000000001</v>
      </c>
      <c r="H1457" s="69">
        <f t="shared" si="120"/>
        <v>0</v>
      </c>
      <c r="I1457" s="70">
        <f>ROUND($G1457*H1457,2)</f>
        <v>0</v>
      </c>
    </row>
    <row r="1458" spans="2:9" ht="34.200000000000003">
      <c r="B1458" s="368" t="s">
        <v>373</v>
      </c>
      <c r="C1458" s="106"/>
      <c r="D1458" s="106"/>
      <c r="E1458" s="110" t="s">
        <v>546</v>
      </c>
      <c r="F1458" s="62" t="s">
        <v>4</v>
      </c>
      <c r="G1458" s="68">
        <v>22</v>
      </c>
      <c r="H1458" s="69">
        <f t="shared" si="120"/>
        <v>0</v>
      </c>
      <c r="I1458" s="70">
        <f>ROUND($G1458*H1458,2)</f>
        <v>0</v>
      </c>
    </row>
    <row r="1459" spans="2:9" ht="22.8">
      <c r="B1459" s="368" t="s">
        <v>519</v>
      </c>
      <c r="C1459" s="74" t="s">
        <v>355</v>
      </c>
      <c r="D1459" s="74"/>
      <c r="E1459" s="110" t="s">
        <v>357</v>
      </c>
      <c r="F1459" s="170" t="s">
        <v>13</v>
      </c>
      <c r="G1459" s="107" t="s">
        <v>13</v>
      </c>
      <c r="H1459" s="69" t="s">
        <v>13</v>
      </c>
      <c r="I1459" s="48" t="s">
        <v>13</v>
      </c>
    </row>
    <row r="1460" spans="2:9" ht="22.8">
      <c r="B1460" s="368" t="s">
        <v>351</v>
      </c>
      <c r="C1460" s="101"/>
      <c r="D1460" s="101"/>
      <c r="E1460" s="90" t="s">
        <v>154</v>
      </c>
      <c r="F1460" s="109" t="s">
        <v>15</v>
      </c>
      <c r="G1460" s="68">
        <v>295</v>
      </c>
      <c r="H1460" s="69">
        <f t="shared" si="120"/>
        <v>0</v>
      </c>
      <c r="I1460" s="70">
        <f>ROUND($G1460*H1460,2)</f>
        <v>0</v>
      </c>
    </row>
    <row r="1461" spans="2:9" ht="13.2">
      <c r="B1461" s="369"/>
      <c r="C1461" s="12"/>
      <c r="D1461" s="25"/>
      <c r="E1461" s="87" t="s">
        <v>46</v>
      </c>
      <c r="F1461" s="13" t="s">
        <v>153</v>
      </c>
      <c r="G1461" s="96"/>
      <c r="H1461"/>
      <c r="I1461" s="207"/>
    </row>
    <row r="1462" spans="2:9" ht="13.2">
      <c r="B1462" s="367" t="s">
        <v>275</v>
      </c>
      <c r="C1462" s="375" t="s">
        <v>201</v>
      </c>
      <c r="D1462" s="374"/>
      <c r="E1462" s="407" t="s">
        <v>380</v>
      </c>
      <c r="F1462" s="377"/>
      <c r="G1462" s="378"/>
      <c r="H1462" s="389"/>
      <c r="I1462" s="380"/>
    </row>
    <row r="1463" spans="2:9" ht="24">
      <c r="B1463" s="367"/>
      <c r="C1463" s="71"/>
      <c r="D1463" s="72"/>
      <c r="E1463" s="73" t="s">
        <v>241</v>
      </c>
      <c r="F1463" s="30"/>
      <c r="G1463" s="43"/>
      <c r="H1463"/>
      <c r="I1463" s="36"/>
    </row>
    <row r="1464" spans="2:9" ht="13.2">
      <c r="B1464" s="367" t="s">
        <v>276</v>
      </c>
      <c r="C1464" s="60" t="s">
        <v>182</v>
      </c>
      <c r="D1464" s="60"/>
      <c r="E1464" s="90" t="s">
        <v>49</v>
      </c>
      <c r="F1464" s="62" t="s">
        <v>13</v>
      </c>
      <c r="G1464" s="63" t="s">
        <v>13</v>
      </c>
      <c r="H1464" s="69" t="s">
        <v>13</v>
      </c>
      <c r="I1464" s="269" t="s">
        <v>13</v>
      </c>
    </row>
    <row r="1465" spans="2:9" ht="34.200000000000003">
      <c r="B1465" s="368" t="s">
        <v>277</v>
      </c>
      <c r="C1465" s="66"/>
      <c r="D1465" s="66"/>
      <c r="E1465" s="110" t="s">
        <v>207</v>
      </c>
      <c r="F1465" s="62" t="s">
        <v>15</v>
      </c>
      <c r="G1465" s="68">
        <v>1040</v>
      </c>
      <c r="H1465" s="69">
        <f t="shared" si="120"/>
        <v>0</v>
      </c>
      <c r="I1465" s="70">
        <f>ROUND($G1465*H1465,2)</f>
        <v>0</v>
      </c>
    </row>
    <row r="1466" spans="2:9" ht="45.6">
      <c r="B1466" s="368" t="s">
        <v>278</v>
      </c>
      <c r="C1466" s="83"/>
      <c r="D1466" s="83"/>
      <c r="E1466" s="92" t="s">
        <v>149</v>
      </c>
      <c r="F1466" s="62" t="s">
        <v>15</v>
      </c>
      <c r="G1466" s="68">
        <v>40</v>
      </c>
      <c r="H1466" s="69">
        <f t="shared" si="120"/>
        <v>0</v>
      </c>
      <c r="I1466" s="70">
        <f>ROUND($G1466*H1466,2)</f>
        <v>0</v>
      </c>
    </row>
    <row r="1467" spans="2:9" ht="13.2">
      <c r="B1467" s="367" t="s">
        <v>279</v>
      </c>
      <c r="C1467" s="74" t="s">
        <v>168</v>
      </c>
      <c r="D1467" s="74"/>
      <c r="E1467" s="270" t="s">
        <v>155</v>
      </c>
      <c r="F1467" s="81" t="s">
        <v>13</v>
      </c>
      <c r="G1467" s="228" t="s">
        <v>13</v>
      </c>
      <c r="H1467" s="69" t="s">
        <v>13</v>
      </c>
      <c r="I1467" s="269" t="s">
        <v>13</v>
      </c>
    </row>
    <row r="1468" spans="2:9" ht="22.8">
      <c r="B1468" s="368" t="s">
        <v>280</v>
      </c>
      <c r="C1468" s="103"/>
      <c r="D1468" s="103"/>
      <c r="E1468" s="110" t="s">
        <v>502</v>
      </c>
      <c r="F1468" s="62" t="s">
        <v>15</v>
      </c>
      <c r="G1468" s="68">
        <v>10</v>
      </c>
      <c r="H1468" s="69">
        <f t="shared" si="120"/>
        <v>0</v>
      </c>
      <c r="I1468" s="70">
        <f>ROUND($G1468*H1468,2)</f>
        <v>0</v>
      </c>
    </row>
    <row r="1469" spans="2:9" ht="13.2">
      <c r="B1469" s="367" t="s">
        <v>282</v>
      </c>
      <c r="C1469" s="74" t="s">
        <v>184</v>
      </c>
      <c r="D1469" s="74"/>
      <c r="E1469" s="90" t="s">
        <v>121</v>
      </c>
      <c r="F1469" s="81" t="s">
        <v>13</v>
      </c>
      <c r="G1469" s="228" t="s">
        <v>13</v>
      </c>
      <c r="H1469" s="69" t="s">
        <v>13</v>
      </c>
      <c r="I1469" s="48" t="s">
        <v>13</v>
      </c>
    </row>
    <row r="1470" spans="2:9" ht="22.8">
      <c r="B1470" s="368" t="s">
        <v>283</v>
      </c>
      <c r="C1470" s="98"/>
      <c r="D1470" s="98"/>
      <c r="E1470" s="111" t="s">
        <v>122</v>
      </c>
      <c r="F1470" s="83" t="s">
        <v>15</v>
      </c>
      <c r="G1470" s="68">
        <v>270</v>
      </c>
      <c r="H1470" s="69">
        <f t="shared" si="120"/>
        <v>0</v>
      </c>
      <c r="I1470" s="70">
        <f>ROUND($G1470*H1470,2)</f>
        <v>0</v>
      </c>
    </row>
    <row r="1471" spans="2:9" ht="13.2">
      <c r="B1471" s="367" t="s">
        <v>284</v>
      </c>
      <c r="C1471" s="74" t="s">
        <v>185</v>
      </c>
      <c r="D1471" s="74"/>
      <c r="E1471" s="90" t="s">
        <v>151</v>
      </c>
      <c r="F1471" s="81" t="s">
        <v>13</v>
      </c>
      <c r="G1471" s="228" t="s">
        <v>13</v>
      </c>
      <c r="H1471" s="69" t="s">
        <v>13</v>
      </c>
      <c r="I1471" s="269" t="s">
        <v>13</v>
      </c>
    </row>
    <row r="1472" spans="2:9" ht="22.8">
      <c r="B1472" s="368" t="s">
        <v>285</v>
      </c>
      <c r="C1472" s="98"/>
      <c r="D1472" s="98"/>
      <c r="E1472" s="90" t="s">
        <v>152</v>
      </c>
      <c r="F1472" s="83" t="s">
        <v>15</v>
      </c>
      <c r="G1472" s="68">
        <v>295</v>
      </c>
      <c r="H1472" s="69">
        <f t="shared" si="120"/>
        <v>0</v>
      </c>
      <c r="I1472" s="70">
        <f>ROUND($G1472*H1472,2)</f>
        <v>0</v>
      </c>
    </row>
    <row r="1473" spans="2:9" ht="13.2">
      <c r="B1473" s="369"/>
      <c r="C1473" s="12"/>
      <c r="D1473" s="25"/>
      <c r="E1473" s="87" t="s">
        <v>58</v>
      </c>
      <c r="F1473" s="13" t="s">
        <v>153</v>
      </c>
      <c r="G1473" s="96"/>
      <c r="H1473"/>
      <c r="I1473" s="207"/>
    </row>
    <row r="1474" spans="2:9" ht="13.2">
      <c r="B1474" s="367" t="s">
        <v>288</v>
      </c>
      <c r="C1474" s="385" t="s">
        <v>186</v>
      </c>
      <c r="D1474" s="386"/>
      <c r="E1474" s="387" t="s">
        <v>81</v>
      </c>
      <c r="F1474" s="388"/>
      <c r="G1474" s="378"/>
      <c r="H1474" s="389"/>
      <c r="I1474" s="380"/>
    </row>
    <row r="1475" spans="2:9" ht="24">
      <c r="B1475" s="367"/>
      <c r="C1475" s="71"/>
      <c r="D1475" s="72"/>
      <c r="E1475" s="73" t="s">
        <v>241</v>
      </c>
      <c r="F1475" s="30"/>
      <c r="G1475" s="231"/>
      <c r="H1475"/>
      <c r="I1475" s="271"/>
    </row>
    <row r="1476" spans="2:9" ht="13.2">
      <c r="B1476" s="367" t="s">
        <v>289</v>
      </c>
      <c r="C1476" s="74" t="s">
        <v>381</v>
      </c>
      <c r="D1476" s="91"/>
      <c r="E1476" s="172" t="s">
        <v>382</v>
      </c>
      <c r="F1476" s="62" t="s">
        <v>13</v>
      </c>
      <c r="G1476" s="233" t="s">
        <v>13</v>
      </c>
      <c r="H1476" s="69" t="s">
        <v>13</v>
      </c>
      <c r="I1476" s="269" t="s">
        <v>13</v>
      </c>
    </row>
    <row r="1477" spans="2:9" ht="22.8">
      <c r="B1477" s="368" t="s">
        <v>290</v>
      </c>
      <c r="C1477" s="173"/>
      <c r="D1477" s="173"/>
      <c r="E1477" s="67" t="s">
        <v>383</v>
      </c>
      <c r="F1477" s="62" t="s">
        <v>3</v>
      </c>
      <c r="G1477" s="68">
        <v>10</v>
      </c>
      <c r="H1477" s="69">
        <f t="shared" si="120"/>
        <v>0</v>
      </c>
      <c r="I1477" s="70">
        <f>ROUND($G1477*H1477,2)</f>
        <v>0</v>
      </c>
    </row>
    <row r="1478" spans="2:9" ht="13.2">
      <c r="B1478" s="367" t="s">
        <v>384</v>
      </c>
      <c r="C1478" s="74" t="s">
        <v>187</v>
      </c>
      <c r="D1478" s="74"/>
      <c r="E1478" s="61" t="s">
        <v>360</v>
      </c>
      <c r="F1478" s="62" t="s">
        <v>13</v>
      </c>
      <c r="G1478" s="233" t="s">
        <v>13</v>
      </c>
      <c r="H1478" s="69" t="s">
        <v>13</v>
      </c>
      <c r="I1478" s="269" t="s">
        <v>13</v>
      </c>
    </row>
    <row r="1479" spans="2:9" ht="22.8">
      <c r="B1479" s="368" t="s">
        <v>385</v>
      </c>
      <c r="C1479" s="115"/>
      <c r="D1479" s="115"/>
      <c r="E1479" s="67" t="s">
        <v>612</v>
      </c>
      <c r="F1479" s="62" t="s">
        <v>4</v>
      </c>
      <c r="G1479" s="68">
        <v>60</v>
      </c>
      <c r="H1479" s="69">
        <f t="shared" si="120"/>
        <v>0</v>
      </c>
      <c r="I1479" s="70">
        <f>ROUND($G1479*H1479,2)</f>
        <v>0</v>
      </c>
    </row>
    <row r="1480" spans="2:9" ht="22.8">
      <c r="B1480" s="368" t="s">
        <v>387</v>
      </c>
      <c r="C1480" s="115"/>
      <c r="D1480" s="115"/>
      <c r="E1480" s="116" t="s">
        <v>157</v>
      </c>
      <c r="F1480" s="62" t="s">
        <v>3</v>
      </c>
      <c r="G1480" s="68">
        <v>2</v>
      </c>
      <c r="H1480" s="69">
        <f t="shared" si="120"/>
        <v>0</v>
      </c>
      <c r="I1480" s="70">
        <f>ROUND($G1480*H1480,2)</f>
        <v>0</v>
      </c>
    </row>
    <row r="1481" spans="2:9" ht="13.2">
      <c r="B1481" s="369"/>
      <c r="C1481" s="73"/>
      <c r="D1481" s="118"/>
      <c r="E1481" s="112" t="s">
        <v>85</v>
      </c>
      <c r="F1481" s="13" t="s">
        <v>153</v>
      </c>
      <c r="G1481" s="119"/>
      <c r="H1481"/>
      <c r="I1481" s="268"/>
    </row>
    <row r="1482" spans="2:9" ht="13.2">
      <c r="B1482" s="367" t="s">
        <v>390</v>
      </c>
      <c r="C1482" s="385" t="s">
        <v>391</v>
      </c>
      <c r="D1482" s="386"/>
      <c r="E1482" s="387" t="s">
        <v>392</v>
      </c>
      <c r="F1482" s="388"/>
      <c r="G1482" s="431"/>
      <c r="H1482" s="434"/>
      <c r="I1482" s="380"/>
    </row>
    <row r="1483" spans="2:9" ht="24">
      <c r="B1483" s="367"/>
      <c r="C1483" s="71"/>
      <c r="D1483" s="72"/>
      <c r="E1483" s="73" t="s">
        <v>241</v>
      </c>
      <c r="F1483" s="30"/>
      <c r="G1483" s="43"/>
      <c r="H1483" s="435"/>
      <c r="I1483" s="36"/>
    </row>
    <row r="1484" spans="2:9" ht="13.2">
      <c r="B1484" s="368" t="s">
        <v>603</v>
      </c>
      <c r="C1484" s="74" t="s">
        <v>394</v>
      </c>
      <c r="D1484" s="75"/>
      <c r="E1484" s="122" t="s">
        <v>395</v>
      </c>
      <c r="F1484" s="62" t="s">
        <v>13</v>
      </c>
      <c r="G1484" s="63" t="s">
        <v>13</v>
      </c>
      <c r="H1484" s="69" t="s">
        <v>13</v>
      </c>
      <c r="I1484" s="48" t="s">
        <v>13</v>
      </c>
    </row>
    <row r="1485" spans="2:9" ht="13.2">
      <c r="B1485" s="368" t="s">
        <v>396</v>
      </c>
      <c r="C1485" s="98"/>
      <c r="D1485" s="99"/>
      <c r="E1485" s="122" t="s">
        <v>397</v>
      </c>
      <c r="F1485" s="62" t="s">
        <v>13</v>
      </c>
      <c r="G1485" s="63" t="s">
        <v>13</v>
      </c>
      <c r="H1485" s="69" t="s">
        <v>13</v>
      </c>
      <c r="I1485" s="48" t="s">
        <v>13</v>
      </c>
    </row>
    <row r="1486" spans="2:9" ht="13.2">
      <c r="B1486" s="368" t="s">
        <v>398</v>
      </c>
      <c r="C1486" s="103"/>
      <c r="D1486" s="104"/>
      <c r="E1486" s="80" t="s">
        <v>613</v>
      </c>
      <c r="F1486" s="62" t="s">
        <v>3</v>
      </c>
      <c r="G1486" s="68">
        <v>2</v>
      </c>
      <c r="H1486" s="69">
        <f t="shared" si="120"/>
        <v>0</v>
      </c>
      <c r="I1486" s="70">
        <f>ROUND($G1486*H1486,2)</f>
        <v>0</v>
      </c>
    </row>
    <row r="1487" spans="2:9" ht="13.2">
      <c r="B1487" s="368" t="s">
        <v>400</v>
      </c>
      <c r="C1487" s="103"/>
      <c r="D1487" s="104"/>
      <c r="E1487" s="80" t="s">
        <v>614</v>
      </c>
      <c r="F1487" s="62" t="s">
        <v>3</v>
      </c>
      <c r="G1487" s="68">
        <v>2</v>
      </c>
      <c r="H1487" s="69">
        <f>L1487*$K$5</f>
        <v>0</v>
      </c>
      <c r="I1487" s="70">
        <f>ROUND($G1487*H1487,2)</f>
        <v>0</v>
      </c>
    </row>
    <row r="1488" spans="2:9" ht="13.2">
      <c r="B1488" s="368" t="s">
        <v>402</v>
      </c>
      <c r="C1488" s="101"/>
      <c r="D1488" s="102"/>
      <c r="E1488" s="80" t="s">
        <v>615</v>
      </c>
      <c r="F1488" s="62" t="s">
        <v>3</v>
      </c>
      <c r="G1488" s="68">
        <v>4</v>
      </c>
      <c r="H1488" s="69">
        <f t="shared" si="120"/>
        <v>0</v>
      </c>
      <c r="I1488" s="70">
        <f>ROUND($G1488*H1488,2)</f>
        <v>0</v>
      </c>
    </row>
    <row r="1489" spans="2:9" ht="13.2">
      <c r="B1489" s="369"/>
      <c r="C1489" s="12"/>
      <c r="D1489" s="25"/>
      <c r="E1489" s="87" t="s">
        <v>404</v>
      </c>
      <c r="F1489" s="13" t="s">
        <v>153</v>
      </c>
      <c r="G1489" s="119"/>
      <c r="H1489"/>
      <c r="I1489" s="268"/>
    </row>
    <row r="1490" spans="2:9" ht="13.2">
      <c r="B1490" s="367" t="s">
        <v>292</v>
      </c>
      <c r="C1490" s="375" t="s">
        <v>188</v>
      </c>
      <c r="D1490" s="374"/>
      <c r="E1490" s="376" t="s">
        <v>59</v>
      </c>
      <c r="F1490" s="377"/>
      <c r="G1490" s="436"/>
      <c r="H1490" s="382"/>
      <c r="I1490" s="380"/>
    </row>
    <row r="1491" spans="2:9" ht="24">
      <c r="B1491" s="367"/>
      <c r="C1491" s="71"/>
      <c r="D1491" s="72"/>
      <c r="E1491" s="73" t="s">
        <v>241</v>
      </c>
      <c r="F1491" s="30"/>
      <c r="G1491" s="43"/>
      <c r="H1491"/>
      <c r="I1491" s="36"/>
    </row>
    <row r="1492" spans="2:9" ht="13.2">
      <c r="B1492" s="367" t="s">
        <v>293</v>
      </c>
      <c r="C1492" s="120" t="s">
        <v>405</v>
      </c>
      <c r="D1492" s="121"/>
      <c r="E1492" s="122" t="s">
        <v>406</v>
      </c>
      <c r="F1492" s="62" t="s">
        <v>13</v>
      </c>
      <c r="G1492" s="63" t="s">
        <v>13</v>
      </c>
      <c r="H1492" s="69" t="s">
        <v>13</v>
      </c>
      <c r="I1492" s="269" t="s">
        <v>13</v>
      </c>
    </row>
    <row r="1493" spans="2:9" ht="57">
      <c r="B1493" s="368" t="s">
        <v>294</v>
      </c>
      <c r="C1493" s="123"/>
      <c r="D1493" s="124"/>
      <c r="E1493" s="80" t="s">
        <v>407</v>
      </c>
      <c r="F1493" s="81" t="s">
        <v>4</v>
      </c>
      <c r="G1493" s="68">
        <v>24.6</v>
      </c>
      <c r="H1493" s="69">
        <f t="shared" si="120"/>
        <v>0</v>
      </c>
      <c r="I1493" s="70">
        <f>ROUND($G1493*H1493,2)</f>
        <v>0</v>
      </c>
    </row>
    <row r="1494" spans="2:9" ht="13.2">
      <c r="B1494" s="367" t="s">
        <v>408</v>
      </c>
      <c r="C1494" s="120" t="s">
        <v>189</v>
      </c>
      <c r="D1494" s="121"/>
      <c r="E1494" s="122" t="s">
        <v>60</v>
      </c>
      <c r="F1494" s="62" t="s">
        <v>13</v>
      </c>
      <c r="G1494" s="63" t="s">
        <v>13</v>
      </c>
      <c r="H1494" s="69" t="s">
        <v>13</v>
      </c>
      <c r="I1494" s="269" t="s">
        <v>13</v>
      </c>
    </row>
    <row r="1495" spans="2:9" ht="34.200000000000003">
      <c r="B1495" s="368" t="s">
        <v>409</v>
      </c>
      <c r="C1495" s="123"/>
      <c r="D1495" s="124"/>
      <c r="E1495" s="80" t="s">
        <v>410</v>
      </c>
      <c r="F1495" s="81" t="s">
        <v>4</v>
      </c>
      <c r="G1495" s="68">
        <v>21.8</v>
      </c>
      <c r="H1495" s="69">
        <f t="shared" ref="H1495" si="121">L1495*$K$5</f>
        <v>0</v>
      </c>
      <c r="I1495" s="70">
        <f>ROUND($G1495*H1495,2)</f>
        <v>0</v>
      </c>
    </row>
    <row r="1496" spans="2:9" ht="34.200000000000003">
      <c r="B1496" s="368" t="s">
        <v>411</v>
      </c>
      <c r="C1496" s="125"/>
      <c r="D1496" s="126"/>
      <c r="E1496" s="127" t="s">
        <v>144</v>
      </c>
      <c r="F1496" s="128" t="s">
        <v>4</v>
      </c>
      <c r="G1496" s="68">
        <v>23</v>
      </c>
      <c r="H1496" s="69">
        <f>L1496*$K$5</f>
        <v>0</v>
      </c>
      <c r="I1496" s="70">
        <f>ROUND($G1496*H1496,2)</f>
        <v>0</v>
      </c>
    </row>
    <row r="1497" spans="2:9" ht="13.2">
      <c r="B1497" s="367" t="s">
        <v>297</v>
      </c>
      <c r="C1497" s="375" t="s">
        <v>190</v>
      </c>
      <c r="D1497" s="374"/>
      <c r="E1497" s="376" t="s">
        <v>62</v>
      </c>
      <c r="F1497" s="377"/>
      <c r="G1497" s="378"/>
      <c r="H1497" s="389"/>
      <c r="I1497" s="380"/>
    </row>
    <row r="1498" spans="2:9" ht="24">
      <c r="B1498" s="367"/>
      <c r="C1498" s="71"/>
      <c r="D1498" s="72"/>
      <c r="E1498" s="73" t="s">
        <v>241</v>
      </c>
      <c r="F1498" s="30"/>
      <c r="G1498" s="40"/>
      <c r="H1498" s="433"/>
      <c r="I1498" s="36"/>
    </row>
    <row r="1499" spans="2:9" ht="13.2">
      <c r="B1499" s="367" t="s">
        <v>298</v>
      </c>
      <c r="C1499" s="60" t="s">
        <v>191</v>
      </c>
      <c r="D1499" s="60"/>
      <c r="E1499" s="90" t="s">
        <v>244</v>
      </c>
      <c r="F1499" s="62" t="s">
        <v>13</v>
      </c>
      <c r="G1499" s="63" t="s">
        <v>13</v>
      </c>
      <c r="H1499" s="69" t="s">
        <v>13</v>
      </c>
      <c r="I1499" s="269" t="s">
        <v>13</v>
      </c>
    </row>
    <row r="1500" spans="2:9" ht="22.8">
      <c r="B1500" s="368" t="s">
        <v>299</v>
      </c>
      <c r="C1500" s="66"/>
      <c r="D1500" s="66"/>
      <c r="E1500" s="133" t="s">
        <v>245</v>
      </c>
      <c r="F1500" s="132" t="s">
        <v>23</v>
      </c>
      <c r="G1500" s="68">
        <v>1784</v>
      </c>
      <c r="H1500" s="69">
        <f t="shared" ref="H1500:H1527" si="122">L1500*$K$5</f>
        <v>0</v>
      </c>
      <c r="I1500" s="70">
        <f>ROUND($G1500*H1500,2)</f>
        <v>0</v>
      </c>
    </row>
    <row r="1501" spans="2:9" ht="22.8">
      <c r="B1501" s="368" t="s">
        <v>300</v>
      </c>
      <c r="C1501" s="66"/>
      <c r="D1501" s="66"/>
      <c r="E1501" s="133" t="s">
        <v>246</v>
      </c>
      <c r="F1501" s="132" t="s">
        <v>23</v>
      </c>
      <c r="G1501" s="68">
        <v>1235</v>
      </c>
      <c r="H1501" s="69">
        <f t="shared" si="122"/>
        <v>0</v>
      </c>
      <c r="I1501" s="70">
        <f>ROUND($G1501*H1501,2)</f>
        <v>0</v>
      </c>
    </row>
    <row r="1502" spans="2:9" ht="13.2">
      <c r="B1502" s="369"/>
      <c r="C1502" s="12"/>
      <c r="D1502" s="25"/>
      <c r="E1502" s="87" t="s">
        <v>63</v>
      </c>
      <c r="F1502" s="13"/>
      <c r="G1502" s="134"/>
      <c r="H1502"/>
      <c r="I1502" s="268"/>
    </row>
    <row r="1503" spans="2:9" ht="13.2">
      <c r="B1503" s="367" t="s">
        <v>301</v>
      </c>
      <c r="C1503" s="375" t="s">
        <v>192</v>
      </c>
      <c r="D1503" s="374"/>
      <c r="E1503" s="376" t="s">
        <v>64</v>
      </c>
      <c r="F1503" s="377"/>
      <c r="G1503" s="378"/>
      <c r="H1503" s="382"/>
      <c r="I1503" s="380"/>
    </row>
    <row r="1504" spans="2:9" ht="24">
      <c r="B1504" s="367"/>
      <c r="C1504" s="71"/>
      <c r="D1504" s="72"/>
      <c r="E1504" s="73" t="s">
        <v>241</v>
      </c>
      <c r="F1504" s="30"/>
      <c r="G1504" s="40"/>
      <c r="H1504" s="433"/>
      <c r="I1504" s="36"/>
    </row>
    <row r="1505" spans="2:9" ht="13.2">
      <c r="B1505" s="367" t="s">
        <v>302</v>
      </c>
      <c r="C1505" s="60" t="s">
        <v>193</v>
      </c>
      <c r="D1505" s="60"/>
      <c r="E1505" s="135" t="s">
        <v>66</v>
      </c>
      <c r="F1505" s="136" t="s">
        <v>13</v>
      </c>
      <c r="G1505" s="140" t="s">
        <v>13</v>
      </c>
      <c r="H1505" s="69" t="s">
        <v>13</v>
      </c>
      <c r="I1505" s="269" t="s">
        <v>13</v>
      </c>
    </row>
    <row r="1506" spans="2:9" ht="22.8">
      <c r="B1506" s="368" t="s">
        <v>303</v>
      </c>
      <c r="C1506" s="83"/>
      <c r="D1506" s="83"/>
      <c r="E1506" s="116" t="s">
        <v>158</v>
      </c>
      <c r="F1506" s="137" t="s">
        <v>16</v>
      </c>
      <c r="G1506" s="68">
        <v>260</v>
      </c>
      <c r="H1506" s="69">
        <f t="shared" si="122"/>
        <v>0</v>
      </c>
      <c r="I1506" s="70">
        <f>ROUND($G1506*H1506,2)</f>
        <v>0</v>
      </c>
    </row>
    <row r="1507" spans="2:9" ht="13.2">
      <c r="B1507" s="367" t="s">
        <v>304</v>
      </c>
      <c r="C1507" s="74" t="s">
        <v>194</v>
      </c>
      <c r="D1507" s="74"/>
      <c r="E1507" s="135" t="s">
        <v>68</v>
      </c>
      <c r="F1507" s="136" t="s">
        <v>13</v>
      </c>
      <c r="G1507" s="140" t="s">
        <v>13</v>
      </c>
      <c r="H1507" s="69" t="s">
        <v>13</v>
      </c>
      <c r="I1507" s="269" t="s">
        <v>13</v>
      </c>
    </row>
    <row r="1508" spans="2:9" ht="34.799999999999997">
      <c r="B1508" s="368" t="s">
        <v>305</v>
      </c>
      <c r="C1508" s="98"/>
      <c r="D1508" s="98"/>
      <c r="E1508" s="116" t="s">
        <v>554</v>
      </c>
      <c r="F1508" s="136" t="s">
        <v>4</v>
      </c>
      <c r="G1508" s="68">
        <v>42</v>
      </c>
      <c r="H1508" s="69">
        <f t="shared" si="122"/>
        <v>0</v>
      </c>
      <c r="I1508" s="70">
        <f>ROUND($G1508*H1508,2)</f>
        <v>0</v>
      </c>
    </row>
    <row r="1509" spans="2:9" ht="13.2">
      <c r="B1509" s="368" t="s">
        <v>306</v>
      </c>
      <c r="C1509" s="101"/>
      <c r="D1509" s="103"/>
      <c r="E1509" s="138" t="s">
        <v>133</v>
      </c>
      <c r="F1509" s="136" t="s">
        <v>3</v>
      </c>
      <c r="G1509" s="117">
        <v>2</v>
      </c>
      <c r="H1509" s="69">
        <f t="shared" si="122"/>
        <v>0</v>
      </c>
      <c r="I1509" s="70">
        <f>ROUND($G1509*H1509,2)</f>
        <v>0</v>
      </c>
    </row>
    <row r="1510" spans="2:9" ht="13.2">
      <c r="B1510" s="367" t="s">
        <v>307</v>
      </c>
      <c r="C1510" s="74" t="s">
        <v>169</v>
      </c>
      <c r="D1510" s="75"/>
      <c r="E1510" s="122" t="s">
        <v>69</v>
      </c>
      <c r="F1510" s="62" t="s">
        <v>13</v>
      </c>
      <c r="G1510" s="63" t="s">
        <v>13</v>
      </c>
      <c r="H1510" s="69" t="s">
        <v>13</v>
      </c>
      <c r="I1510" s="269" t="s">
        <v>13</v>
      </c>
    </row>
    <row r="1511" spans="2:9" ht="34.200000000000003">
      <c r="B1511" s="368" t="s">
        <v>308</v>
      </c>
      <c r="C1511" s="98"/>
      <c r="D1511" s="99"/>
      <c r="E1511" s="80" t="s">
        <v>161</v>
      </c>
      <c r="F1511" s="81" t="s">
        <v>16</v>
      </c>
      <c r="G1511" s="68">
        <v>510</v>
      </c>
      <c r="H1511" s="69">
        <f>L1511*$K$5</f>
        <v>0</v>
      </c>
      <c r="I1511" s="70">
        <f>ROUND($G1511*H1511,2)</f>
        <v>0</v>
      </c>
    </row>
    <row r="1512" spans="2:9" ht="22.8">
      <c r="B1512" s="368" t="s">
        <v>309</v>
      </c>
      <c r="C1512" s="98"/>
      <c r="D1512" s="99"/>
      <c r="E1512" s="80" t="s">
        <v>70</v>
      </c>
      <c r="F1512" s="62" t="s">
        <v>4</v>
      </c>
      <c r="G1512" s="68">
        <v>70</v>
      </c>
      <c r="H1512" s="69">
        <f t="shared" si="122"/>
        <v>0</v>
      </c>
      <c r="I1512" s="70">
        <f>ROUND($G1512*H1512,2)</f>
        <v>0</v>
      </c>
    </row>
    <row r="1513" spans="2:9" ht="22.8">
      <c r="B1513" s="368" t="s">
        <v>310</v>
      </c>
      <c r="C1513" s="98"/>
      <c r="D1513" s="98"/>
      <c r="E1513" s="139" t="s">
        <v>142</v>
      </c>
      <c r="F1513" s="62" t="s">
        <v>4</v>
      </c>
      <c r="G1513" s="68">
        <v>20</v>
      </c>
      <c r="H1513" s="69">
        <f t="shared" si="122"/>
        <v>0</v>
      </c>
      <c r="I1513" s="70">
        <f>ROUND($G1513*H1513,2)</f>
        <v>0</v>
      </c>
    </row>
    <row r="1514" spans="2:9" ht="13.2">
      <c r="B1514" s="367" t="s">
        <v>311</v>
      </c>
      <c r="C1514" s="60" t="s">
        <v>195</v>
      </c>
      <c r="D1514" s="60"/>
      <c r="E1514" s="90" t="s">
        <v>71</v>
      </c>
      <c r="F1514" s="140" t="s">
        <v>13</v>
      </c>
      <c r="G1514" s="140" t="s">
        <v>13</v>
      </c>
      <c r="H1514" s="69" t="s">
        <v>13</v>
      </c>
      <c r="I1514" s="269" t="s">
        <v>13</v>
      </c>
    </row>
    <row r="1515" spans="2:9" ht="57">
      <c r="B1515" s="368" t="s">
        <v>312</v>
      </c>
      <c r="C1515" s="66"/>
      <c r="D1515" s="66"/>
      <c r="E1515" s="141" t="s">
        <v>127</v>
      </c>
      <c r="F1515" s="137" t="s">
        <v>16</v>
      </c>
      <c r="G1515" s="68">
        <v>430</v>
      </c>
      <c r="H1515" s="69">
        <f t="shared" si="122"/>
        <v>0</v>
      </c>
      <c r="I1515" s="70">
        <f t="shared" ref="I1515:I1516" si="123">ROUND($G1515*H1515,2)</f>
        <v>0</v>
      </c>
    </row>
    <row r="1516" spans="2:9" ht="45.6">
      <c r="B1516" s="368" t="s">
        <v>313</v>
      </c>
      <c r="C1516" s="83"/>
      <c r="D1516" s="83"/>
      <c r="E1516" s="67" t="s">
        <v>125</v>
      </c>
      <c r="F1516" s="81" t="s">
        <v>16</v>
      </c>
      <c r="G1516" s="68">
        <v>105</v>
      </c>
      <c r="H1516" s="69">
        <f t="shared" si="122"/>
        <v>0</v>
      </c>
      <c r="I1516" s="70">
        <f t="shared" si="123"/>
        <v>0</v>
      </c>
    </row>
    <row r="1517" spans="2:9" ht="13.2">
      <c r="B1517" s="367" t="s">
        <v>314</v>
      </c>
      <c r="C1517" s="60" t="s">
        <v>170</v>
      </c>
      <c r="D1517" s="60"/>
      <c r="E1517" s="61" t="s">
        <v>72</v>
      </c>
      <c r="F1517" s="81" t="s">
        <v>13</v>
      </c>
      <c r="G1517" s="260" t="s">
        <v>13</v>
      </c>
      <c r="H1517" s="69" t="s">
        <v>13</v>
      </c>
      <c r="I1517" s="269" t="s">
        <v>13</v>
      </c>
    </row>
    <row r="1518" spans="2:9" ht="34.200000000000003">
      <c r="B1518" s="368" t="s">
        <v>315</v>
      </c>
      <c r="C1518" s="66"/>
      <c r="D1518" s="66"/>
      <c r="E1518" s="144" t="s">
        <v>148</v>
      </c>
      <c r="F1518" s="81" t="s">
        <v>4</v>
      </c>
      <c r="G1518" s="68">
        <v>31</v>
      </c>
      <c r="H1518" s="69">
        <f t="shared" si="122"/>
        <v>0</v>
      </c>
      <c r="I1518" s="70">
        <f>ROUND($G1518*H1518,2)</f>
        <v>0</v>
      </c>
    </row>
    <row r="1519" spans="2:9" ht="22.8">
      <c r="B1519" s="367" t="s">
        <v>316</v>
      </c>
      <c r="C1519" s="60" t="s">
        <v>196</v>
      </c>
      <c r="D1519" s="60"/>
      <c r="E1519" s="145" t="s">
        <v>131</v>
      </c>
      <c r="F1519" s="146" t="s">
        <v>13</v>
      </c>
      <c r="G1519" s="245" t="s">
        <v>13</v>
      </c>
      <c r="H1519" s="69" t="s">
        <v>13</v>
      </c>
      <c r="I1519" s="269" t="s">
        <v>13</v>
      </c>
    </row>
    <row r="1520" spans="2:9" ht="34.200000000000003">
      <c r="B1520" s="368" t="s">
        <v>317</v>
      </c>
      <c r="C1520" s="66"/>
      <c r="D1520" s="66"/>
      <c r="E1520" s="272" t="s">
        <v>529</v>
      </c>
      <c r="F1520" s="146" t="s">
        <v>4</v>
      </c>
      <c r="G1520" s="68">
        <v>70</v>
      </c>
      <c r="H1520" s="69">
        <f>L1520*$K$5</f>
        <v>0</v>
      </c>
      <c r="I1520" s="70">
        <f t="shared" ref="I1520:I1522" si="124">ROUND($G1520*H1520,2)</f>
        <v>0</v>
      </c>
    </row>
    <row r="1521" spans="2:9" ht="22.8">
      <c r="B1521" s="368" t="s">
        <v>318</v>
      </c>
      <c r="C1521" s="66"/>
      <c r="D1521" s="66"/>
      <c r="E1521" s="272" t="s">
        <v>147</v>
      </c>
      <c r="F1521" s="146" t="s">
        <v>4</v>
      </c>
      <c r="G1521" s="68">
        <v>9</v>
      </c>
      <c r="H1521" s="69">
        <f t="shared" si="122"/>
        <v>0</v>
      </c>
      <c r="I1521" s="70">
        <f t="shared" si="124"/>
        <v>0</v>
      </c>
    </row>
    <row r="1522" spans="2:9" ht="15.6">
      <c r="B1522" s="368" t="s">
        <v>319</v>
      </c>
      <c r="C1522" s="83"/>
      <c r="D1522" s="83"/>
      <c r="E1522" s="273" t="s">
        <v>145</v>
      </c>
      <c r="F1522" s="146" t="s">
        <v>76</v>
      </c>
      <c r="G1522" s="68">
        <v>6</v>
      </c>
      <c r="H1522" s="69">
        <f t="shared" si="122"/>
        <v>0</v>
      </c>
      <c r="I1522" s="70">
        <f t="shared" si="124"/>
        <v>0</v>
      </c>
    </row>
    <row r="1523" spans="2:9" ht="22.8">
      <c r="B1523" s="367" t="s">
        <v>320</v>
      </c>
      <c r="C1523" s="74" t="s">
        <v>197</v>
      </c>
      <c r="D1523" s="74"/>
      <c r="E1523" s="148" t="s">
        <v>73</v>
      </c>
      <c r="F1523" s="81" t="s">
        <v>13</v>
      </c>
      <c r="G1523" s="228" t="s">
        <v>13</v>
      </c>
      <c r="H1523" s="69" t="s">
        <v>13</v>
      </c>
      <c r="I1523" s="269" t="s">
        <v>13</v>
      </c>
    </row>
    <row r="1524" spans="2:9" ht="13.2">
      <c r="B1524" s="368" t="s">
        <v>321</v>
      </c>
      <c r="C1524" s="98"/>
      <c r="D1524" s="98"/>
      <c r="E1524" s="149" t="s">
        <v>74</v>
      </c>
      <c r="F1524" s="136" t="s">
        <v>3</v>
      </c>
      <c r="G1524" s="68">
        <v>2</v>
      </c>
      <c r="H1524" s="69">
        <f t="shared" si="122"/>
        <v>0</v>
      </c>
      <c r="I1524" s="70">
        <f t="shared" ref="I1524:I1525" si="125">ROUND($G1524*H1524,2)</f>
        <v>0</v>
      </c>
    </row>
    <row r="1525" spans="2:9" ht="22.8">
      <c r="B1525" s="368" t="s">
        <v>322</v>
      </c>
      <c r="C1525" s="101"/>
      <c r="D1525" s="101"/>
      <c r="E1525" s="150" t="s">
        <v>128</v>
      </c>
      <c r="F1525" s="151" t="s">
        <v>3</v>
      </c>
      <c r="G1525" s="68">
        <v>20</v>
      </c>
      <c r="H1525" s="69">
        <f t="shared" si="122"/>
        <v>0</v>
      </c>
      <c r="I1525" s="70">
        <f t="shared" si="125"/>
        <v>0</v>
      </c>
    </row>
    <row r="1526" spans="2:9" ht="13.2">
      <c r="B1526" s="367" t="s">
        <v>323</v>
      </c>
      <c r="C1526" s="60" t="s">
        <v>198</v>
      </c>
      <c r="D1526" s="60"/>
      <c r="E1526" s="152" t="s">
        <v>75</v>
      </c>
      <c r="F1526" s="153" t="s">
        <v>13</v>
      </c>
      <c r="G1526" s="235" t="s">
        <v>13</v>
      </c>
      <c r="H1526" s="69" t="s">
        <v>13</v>
      </c>
      <c r="I1526" s="269" t="s">
        <v>13</v>
      </c>
    </row>
    <row r="1527" spans="2:9" ht="13.2">
      <c r="B1527" s="368" t="s">
        <v>324</v>
      </c>
      <c r="C1527" s="83"/>
      <c r="D1527" s="66"/>
      <c r="E1527" s="141" t="s">
        <v>164</v>
      </c>
      <c r="F1527" s="137" t="s">
        <v>16</v>
      </c>
      <c r="G1527" s="68">
        <v>75</v>
      </c>
      <c r="H1527" s="69">
        <f t="shared" si="122"/>
        <v>0</v>
      </c>
      <c r="I1527" s="70">
        <f>ROUND($G1527*H1527,2)</f>
        <v>0</v>
      </c>
    </row>
    <row r="1528" spans="2:9" ht="13.2">
      <c r="B1528" s="367" t="s">
        <v>325</v>
      </c>
      <c r="C1528" s="60" t="s">
        <v>199</v>
      </c>
      <c r="D1528" s="60"/>
      <c r="E1528" s="152" t="s">
        <v>110</v>
      </c>
      <c r="F1528" s="151" t="s">
        <v>13</v>
      </c>
      <c r="G1528" s="154" t="s">
        <v>13</v>
      </c>
      <c r="H1528" s="69" t="s">
        <v>13</v>
      </c>
      <c r="I1528" s="269" t="s">
        <v>13</v>
      </c>
    </row>
    <row r="1529" spans="2:9" ht="22.8">
      <c r="B1529" s="370" t="s">
        <v>326</v>
      </c>
      <c r="C1529" s="66"/>
      <c r="D1529" s="82"/>
      <c r="E1529" s="155" t="s">
        <v>126</v>
      </c>
      <c r="F1529" s="81" t="s">
        <v>16</v>
      </c>
      <c r="G1529" s="68">
        <v>220</v>
      </c>
      <c r="H1529" s="69">
        <f>L1529*$K$5</f>
        <v>0</v>
      </c>
      <c r="I1529" s="70">
        <f t="shared" ref="I1529" si="126">ROUND($G1529*H1529,2)</f>
        <v>0</v>
      </c>
    </row>
    <row r="1530" spans="2:9" ht="13.2">
      <c r="B1530" s="369"/>
      <c r="C1530" s="12"/>
      <c r="D1530" s="25"/>
      <c r="E1530" s="14" t="s">
        <v>77</v>
      </c>
      <c r="F1530" s="13"/>
      <c r="G1530" s="96"/>
      <c r="H1530" s="274"/>
      <c r="I1530" s="207"/>
    </row>
    <row r="1531" spans="2:9" ht="13.2">
      <c r="B1531" s="367" t="s">
        <v>465</v>
      </c>
      <c r="C1531" s="375" t="s">
        <v>466</v>
      </c>
      <c r="D1531" s="374"/>
      <c r="E1531" s="376" t="s">
        <v>467</v>
      </c>
      <c r="F1531" s="377"/>
      <c r="G1531" s="378"/>
      <c r="H1531" s="396"/>
      <c r="I1531" s="409"/>
    </row>
    <row r="1532" spans="2:9" ht="24">
      <c r="B1532" s="369"/>
      <c r="C1532" s="71"/>
      <c r="D1532" s="72"/>
      <c r="E1532" s="73" t="s">
        <v>241</v>
      </c>
      <c r="F1532" s="30"/>
      <c r="G1532" s="43"/>
      <c r="H1532" s="44"/>
      <c r="I1532" s="207"/>
    </row>
    <row r="1533" spans="2:9" ht="12">
      <c r="B1533" s="367" t="s">
        <v>468</v>
      </c>
      <c r="C1533" s="74" t="s">
        <v>466</v>
      </c>
      <c r="D1533" s="74"/>
      <c r="E1533" s="90" t="s">
        <v>469</v>
      </c>
      <c r="F1533" s="136" t="s">
        <v>13</v>
      </c>
      <c r="G1533" s="228" t="s">
        <v>13</v>
      </c>
      <c r="H1533" s="275" t="s">
        <v>13</v>
      </c>
      <c r="I1533" s="269" t="s">
        <v>13</v>
      </c>
    </row>
    <row r="1534" spans="2:9" ht="13.2">
      <c r="B1534" s="368" t="s">
        <v>470</v>
      </c>
      <c r="C1534" s="101"/>
      <c r="D1534" s="101"/>
      <c r="E1534" s="90" t="s">
        <v>505</v>
      </c>
      <c r="F1534" s="62" t="s">
        <v>2</v>
      </c>
      <c r="G1534" s="68">
        <v>1</v>
      </c>
      <c r="H1534" s="69">
        <f>L1534*$K$5</f>
        <v>0</v>
      </c>
      <c r="I1534" s="70">
        <f>ROUND($G1534*H1534,2)</f>
        <v>0</v>
      </c>
    </row>
    <row r="1535" spans="2:9" ht="13.2">
      <c r="B1535" s="367" t="s">
        <v>472</v>
      </c>
      <c r="C1535" s="74" t="s">
        <v>473</v>
      </c>
      <c r="D1535" s="74"/>
      <c r="E1535" s="90" t="s">
        <v>474</v>
      </c>
      <c r="F1535" s="136" t="s">
        <v>13</v>
      </c>
      <c r="G1535" s="228" t="s">
        <v>13</v>
      </c>
      <c r="H1535" s="69" t="s">
        <v>13</v>
      </c>
      <c r="I1535" s="269" t="s">
        <v>13</v>
      </c>
    </row>
    <row r="1536" spans="2:9" ht="13.2">
      <c r="B1536" s="368" t="s">
        <v>475</v>
      </c>
      <c r="C1536" s="101"/>
      <c r="D1536" s="101"/>
      <c r="E1536" s="90" t="s">
        <v>476</v>
      </c>
      <c r="F1536" s="62" t="s">
        <v>15</v>
      </c>
      <c r="G1536" s="68">
        <v>772</v>
      </c>
      <c r="H1536" s="69">
        <f t="shared" ref="H1536:H1540" si="127">L1536*$K$5</f>
        <v>0</v>
      </c>
      <c r="I1536" s="70">
        <f>ROUND($G1536*H1536,2)</f>
        <v>0</v>
      </c>
    </row>
    <row r="1537" spans="2:9" ht="13.2">
      <c r="B1537" s="367" t="s">
        <v>477</v>
      </c>
      <c r="C1537" s="74" t="s">
        <v>478</v>
      </c>
      <c r="D1537" s="74"/>
      <c r="E1537" s="90" t="s">
        <v>479</v>
      </c>
      <c r="F1537" s="136" t="s">
        <v>13</v>
      </c>
      <c r="G1537" s="228" t="s">
        <v>13</v>
      </c>
      <c r="H1537" s="69" t="s">
        <v>13</v>
      </c>
      <c r="I1537" s="269" t="s">
        <v>13</v>
      </c>
    </row>
    <row r="1538" spans="2:9" ht="13.2">
      <c r="B1538" s="368" t="s">
        <v>480</v>
      </c>
      <c r="C1538" s="101"/>
      <c r="D1538" s="101"/>
      <c r="E1538" s="90" t="s">
        <v>481</v>
      </c>
      <c r="F1538" s="62" t="s">
        <v>17</v>
      </c>
      <c r="G1538" s="68">
        <v>5</v>
      </c>
      <c r="H1538" s="69">
        <f t="shared" si="127"/>
        <v>0</v>
      </c>
      <c r="I1538" s="70">
        <f>ROUND($G1538*H1538,2)</f>
        <v>0</v>
      </c>
    </row>
    <row r="1539" spans="2:9" ht="13.2">
      <c r="B1539" s="367" t="s">
        <v>482</v>
      </c>
      <c r="C1539" s="74" t="s">
        <v>483</v>
      </c>
      <c r="D1539" s="74"/>
      <c r="E1539" s="90" t="s">
        <v>484</v>
      </c>
      <c r="F1539" s="136" t="s">
        <v>13</v>
      </c>
      <c r="G1539" s="228" t="s">
        <v>13</v>
      </c>
      <c r="H1539" s="69" t="s">
        <v>13</v>
      </c>
      <c r="I1539" s="269" t="s">
        <v>13</v>
      </c>
    </row>
    <row r="1540" spans="2:9" ht="13.2">
      <c r="B1540" s="368" t="s">
        <v>485</v>
      </c>
      <c r="C1540" s="101"/>
      <c r="D1540" s="101"/>
      <c r="E1540" s="90" t="s">
        <v>486</v>
      </c>
      <c r="F1540" s="62" t="s">
        <v>4</v>
      </c>
      <c r="G1540" s="68">
        <v>35</v>
      </c>
      <c r="H1540" s="69">
        <f t="shared" si="127"/>
        <v>0</v>
      </c>
      <c r="I1540" s="70">
        <f>ROUND($G1540*H1540,2)</f>
        <v>0</v>
      </c>
    </row>
    <row r="1541" spans="2:9" ht="13.2">
      <c r="B1541" s="369"/>
      <c r="C1541" s="12"/>
      <c r="D1541" s="25"/>
      <c r="E1541" s="87" t="s">
        <v>492</v>
      </c>
      <c r="F1541" s="13"/>
      <c r="G1541" s="96"/>
      <c r="H1541" s="274" t="s">
        <v>13</v>
      </c>
      <c r="I1541" s="207"/>
    </row>
    <row r="1542" spans="2:9" ht="13.8">
      <c r="B1542" s="367"/>
      <c r="C1542" s="571" t="s">
        <v>332</v>
      </c>
      <c r="D1542" s="572"/>
      <c r="E1542" s="573"/>
      <c r="F1542" s="7"/>
      <c r="G1542" s="161"/>
      <c r="H1542" s="274" t="s">
        <v>13</v>
      </c>
      <c r="I1542" s="180">
        <f>SUM(I1429:I1540)</f>
        <v>0</v>
      </c>
    </row>
    <row r="1543" spans="2:9" ht="26.4">
      <c r="B1543" s="205" t="s">
        <v>334</v>
      </c>
      <c r="C1543" s="558" t="s">
        <v>616</v>
      </c>
      <c r="D1543" s="559"/>
      <c r="E1543" s="560"/>
      <c r="F1543" s="560"/>
      <c r="G1543" s="560"/>
      <c r="H1543" s="560"/>
      <c r="I1543" s="561"/>
    </row>
    <row r="1544" spans="2:9" ht="24">
      <c r="B1544" s="371" t="s">
        <v>0</v>
      </c>
      <c r="C1544" s="404" t="s">
        <v>210</v>
      </c>
      <c r="D1544" s="404" t="s">
        <v>333</v>
      </c>
      <c r="E1544" s="405" t="s">
        <v>203</v>
      </c>
      <c r="F1544" s="310" t="s">
        <v>204</v>
      </c>
      <c r="G1544" s="405" t="s">
        <v>1</v>
      </c>
      <c r="H1544" s="41" t="s">
        <v>111</v>
      </c>
      <c r="I1544" s="406" t="s">
        <v>112</v>
      </c>
    </row>
    <row r="1545" spans="2:9" ht="13.2">
      <c r="B1545" s="367" t="s">
        <v>247</v>
      </c>
      <c r="C1545" s="375" t="s">
        <v>171</v>
      </c>
      <c r="D1545" s="374"/>
      <c r="E1545" s="376" t="s">
        <v>14</v>
      </c>
      <c r="F1545" s="377"/>
      <c r="G1545" s="378"/>
      <c r="H1545" s="379"/>
      <c r="I1545" s="380"/>
    </row>
    <row r="1546" spans="2:9" ht="12">
      <c r="B1546" s="367" t="s">
        <v>248</v>
      </c>
      <c r="C1546" s="60" t="s">
        <v>166</v>
      </c>
      <c r="D1546" s="60"/>
      <c r="E1546" s="61" t="s">
        <v>116</v>
      </c>
      <c r="F1546" s="62" t="s">
        <v>13</v>
      </c>
      <c r="G1546" s="63" t="s">
        <v>13</v>
      </c>
      <c r="H1546" s="276"/>
      <c r="I1546" s="269" t="s">
        <v>13</v>
      </c>
    </row>
    <row r="1547" spans="2:9" ht="22.8">
      <c r="B1547" s="368" t="s">
        <v>249</v>
      </c>
      <c r="C1547" s="66"/>
      <c r="D1547" s="66"/>
      <c r="E1547" s="67" t="s">
        <v>160</v>
      </c>
      <c r="F1547" s="62" t="s">
        <v>17</v>
      </c>
      <c r="G1547" s="68">
        <v>12</v>
      </c>
      <c r="H1547" s="277">
        <f>L1547*$K$5</f>
        <v>0</v>
      </c>
      <c r="I1547" s="278">
        <f t="shared" ref="I1547" si="128">ROUND($G1547*H1547,2)</f>
        <v>0</v>
      </c>
    </row>
    <row r="1548" spans="2:9" ht="12">
      <c r="B1548" s="369"/>
      <c r="C1548" s="129"/>
      <c r="D1548" s="130"/>
      <c r="E1548" s="87" t="s">
        <v>447</v>
      </c>
      <c r="F1548" s="13" t="s">
        <v>153</v>
      </c>
      <c r="G1548" s="134"/>
      <c r="H1548" s="41"/>
      <c r="I1548" s="34" t="s">
        <v>13</v>
      </c>
    </row>
    <row r="1549" spans="2:9" ht="13.2">
      <c r="B1549" s="367" t="s">
        <v>250</v>
      </c>
      <c r="C1549" s="375" t="s">
        <v>172</v>
      </c>
      <c r="D1549" s="374"/>
      <c r="E1549" s="376" t="s">
        <v>20</v>
      </c>
      <c r="F1549" s="377"/>
      <c r="G1549" s="378"/>
      <c r="H1549" s="397"/>
      <c r="I1549" s="380"/>
    </row>
    <row r="1550" spans="2:9" ht="24">
      <c r="B1550" s="367"/>
      <c r="C1550" s="71"/>
      <c r="D1550" s="72"/>
      <c r="E1550" s="73" t="s">
        <v>241</v>
      </c>
      <c r="F1550" s="30"/>
      <c r="G1550" s="40"/>
      <c r="H1550" s="44"/>
      <c r="I1550" s="36"/>
    </row>
    <row r="1551" spans="2:9" ht="12">
      <c r="B1551" s="367" t="s">
        <v>251</v>
      </c>
      <c r="C1551" s="74" t="s">
        <v>173</v>
      </c>
      <c r="D1551" s="75"/>
      <c r="E1551" s="76" t="s">
        <v>115</v>
      </c>
      <c r="F1551" s="62" t="s">
        <v>13</v>
      </c>
      <c r="G1551" s="63" t="s">
        <v>13</v>
      </c>
      <c r="H1551" s="276" t="s">
        <v>13</v>
      </c>
      <c r="I1551" s="269" t="s">
        <v>13</v>
      </c>
    </row>
    <row r="1552" spans="2:9">
      <c r="B1552" s="369"/>
      <c r="C1552" s="77"/>
      <c r="D1552" s="78"/>
      <c r="E1552" s="79" t="s">
        <v>117</v>
      </c>
      <c r="F1552" s="62" t="s">
        <v>13</v>
      </c>
      <c r="G1552" s="63" t="s">
        <v>13</v>
      </c>
      <c r="H1552" s="276" t="s">
        <v>13</v>
      </c>
      <c r="I1552" s="269" t="s">
        <v>13</v>
      </c>
    </row>
    <row r="1553" spans="2:9" ht="13.2">
      <c r="B1553" s="368" t="s">
        <v>252</v>
      </c>
      <c r="C1553" s="66"/>
      <c r="D1553" s="82"/>
      <c r="E1553" s="80" t="s">
        <v>365</v>
      </c>
      <c r="F1553" s="81" t="s">
        <v>23</v>
      </c>
      <c r="G1553" s="68">
        <v>28870</v>
      </c>
      <c r="H1553" s="277">
        <f>L1553*$K$5</f>
        <v>0</v>
      </c>
      <c r="I1553" s="278">
        <f t="shared" ref="I1553:I1556" si="129">ROUND($G1553*H1553,2)</f>
        <v>0</v>
      </c>
    </row>
    <row r="1554" spans="2:9" ht="13.2">
      <c r="B1554" s="368" t="s">
        <v>253</v>
      </c>
      <c r="C1554" s="66"/>
      <c r="D1554" s="82"/>
      <c r="E1554" s="80" t="s">
        <v>366</v>
      </c>
      <c r="F1554" s="81" t="s">
        <v>23</v>
      </c>
      <c r="G1554" s="164">
        <v>38520</v>
      </c>
      <c r="H1554" s="277">
        <f t="shared" ref="H1554:H1556" si="130">L1554*$K$5</f>
        <v>0</v>
      </c>
      <c r="I1554" s="278">
        <f t="shared" si="129"/>
        <v>0</v>
      </c>
    </row>
    <row r="1555" spans="2:9" ht="13.2">
      <c r="B1555" s="368" t="s">
        <v>254</v>
      </c>
      <c r="C1555" s="66"/>
      <c r="D1555" s="82"/>
      <c r="E1555" s="80" t="s">
        <v>163</v>
      </c>
      <c r="F1555" s="81" t="s">
        <v>23</v>
      </c>
      <c r="G1555" s="165">
        <v>520</v>
      </c>
      <c r="H1555" s="277">
        <f t="shared" si="130"/>
        <v>0</v>
      </c>
      <c r="I1555" s="278">
        <f t="shared" si="129"/>
        <v>0</v>
      </c>
    </row>
    <row r="1556" spans="2:9" ht="13.2">
      <c r="B1556" s="368" t="s">
        <v>255</v>
      </c>
      <c r="C1556" s="83"/>
      <c r="D1556" s="84"/>
      <c r="E1556" s="80" t="s">
        <v>118</v>
      </c>
      <c r="F1556" s="81" t="s">
        <v>23</v>
      </c>
      <c r="G1556" s="68">
        <v>1560</v>
      </c>
      <c r="H1556" s="277">
        <f t="shared" si="130"/>
        <v>0</v>
      </c>
      <c r="I1556" s="278">
        <f t="shared" si="129"/>
        <v>0</v>
      </c>
    </row>
    <row r="1557" spans="2:9" ht="12">
      <c r="B1557" s="369"/>
      <c r="C1557" s="83"/>
      <c r="D1557" s="84"/>
      <c r="E1557" s="87" t="s">
        <v>26</v>
      </c>
      <c r="F1557" s="81" t="s">
        <v>153</v>
      </c>
      <c r="G1557" s="37"/>
      <c r="H1557" s="41"/>
      <c r="I1557" s="34" t="s">
        <v>13</v>
      </c>
    </row>
    <row r="1558" spans="2:9" ht="13.2">
      <c r="B1558" s="367" t="s">
        <v>256</v>
      </c>
      <c r="C1558" s="375" t="s">
        <v>174</v>
      </c>
      <c r="D1558" s="374"/>
      <c r="E1558" s="376" t="s">
        <v>27</v>
      </c>
      <c r="F1558" s="377"/>
      <c r="G1558" s="378"/>
      <c r="H1558" s="397"/>
      <c r="I1558" s="380"/>
    </row>
    <row r="1559" spans="2:9" ht="24">
      <c r="B1559" s="367"/>
      <c r="C1559" s="71"/>
      <c r="D1559" s="72"/>
      <c r="E1559" s="73" t="s">
        <v>241</v>
      </c>
      <c r="F1559" s="30"/>
      <c r="G1559" s="40"/>
      <c r="H1559" s="44"/>
      <c r="I1559" s="36"/>
    </row>
    <row r="1560" spans="2:9" ht="12">
      <c r="B1560" s="367" t="s">
        <v>257</v>
      </c>
      <c r="C1560" s="74" t="s">
        <v>175</v>
      </c>
      <c r="D1560" s="75"/>
      <c r="E1560" s="76" t="s">
        <v>29</v>
      </c>
      <c r="F1560" s="62" t="s">
        <v>13</v>
      </c>
      <c r="G1560" s="63" t="s">
        <v>13</v>
      </c>
      <c r="H1560" s="276" t="s">
        <v>13</v>
      </c>
      <c r="I1560" s="269" t="s">
        <v>13</v>
      </c>
    </row>
    <row r="1561" spans="2:9" ht="22.8">
      <c r="B1561" s="368" t="s">
        <v>258</v>
      </c>
      <c r="C1561" s="98"/>
      <c r="D1561" s="99"/>
      <c r="E1561" s="76" t="s">
        <v>367</v>
      </c>
      <c r="F1561" s="62" t="s">
        <v>17</v>
      </c>
      <c r="G1561" s="68">
        <v>175</v>
      </c>
      <c r="H1561" s="277">
        <f>L1561*$K$5</f>
        <v>0</v>
      </c>
      <c r="I1561" s="278">
        <f>ROUND($G1561*H1561,2)</f>
        <v>0</v>
      </c>
    </row>
    <row r="1562" spans="2:9" ht="13.2">
      <c r="B1562" s="367" t="s">
        <v>259</v>
      </c>
      <c r="C1562" s="66" t="s">
        <v>176</v>
      </c>
      <c r="D1562" s="66"/>
      <c r="E1562" s="90" t="s">
        <v>31</v>
      </c>
      <c r="F1562" s="81" t="s">
        <v>13</v>
      </c>
      <c r="G1562" s="228" t="s">
        <v>13</v>
      </c>
      <c r="H1562" s="277" t="s">
        <v>13</v>
      </c>
      <c r="I1562" s="269" t="s">
        <v>13</v>
      </c>
    </row>
    <row r="1563" spans="2:9" ht="13.2">
      <c r="B1563" s="368" t="s">
        <v>260</v>
      </c>
      <c r="C1563" s="66"/>
      <c r="D1563" s="66"/>
      <c r="E1563" s="67" t="s">
        <v>165</v>
      </c>
      <c r="F1563" s="62" t="s">
        <v>17</v>
      </c>
      <c r="G1563" s="68">
        <v>6</v>
      </c>
      <c r="H1563" s="277">
        <f t="shared" ref="H1563:H1572" si="131">L1563*$K$5</f>
        <v>0</v>
      </c>
      <c r="I1563" s="278">
        <f t="shared" ref="I1563:I1564" si="132">ROUND($G1563*H1563,2)</f>
        <v>0</v>
      </c>
    </row>
    <row r="1564" spans="2:9" ht="22.8">
      <c r="B1564" s="368" t="s">
        <v>369</v>
      </c>
      <c r="C1564" s="83"/>
      <c r="D1564" s="83"/>
      <c r="E1564" s="67" t="s">
        <v>370</v>
      </c>
      <c r="F1564" s="62" t="s">
        <v>17</v>
      </c>
      <c r="G1564" s="68">
        <v>1.2</v>
      </c>
      <c r="H1564" s="277">
        <f t="shared" si="131"/>
        <v>0</v>
      </c>
      <c r="I1564" s="278">
        <f t="shared" si="132"/>
        <v>0</v>
      </c>
    </row>
    <row r="1565" spans="2:9" ht="13.2">
      <c r="B1565" s="367" t="s">
        <v>261</v>
      </c>
      <c r="C1565" s="66" t="s">
        <v>177</v>
      </c>
      <c r="D1565" s="66"/>
      <c r="E1565" s="90" t="s">
        <v>129</v>
      </c>
      <c r="F1565" s="81" t="s">
        <v>13</v>
      </c>
      <c r="G1565" s="228" t="s">
        <v>13</v>
      </c>
      <c r="H1565" s="277" t="s">
        <v>13</v>
      </c>
      <c r="I1565" s="48" t="s">
        <v>13</v>
      </c>
    </row>
    <row r="1566" spans="2:9" ht="13.2">
      <c r="B1566" s="368" t="s">
        <v>262</v>
      </c>
      <c r="C1566" s="66"/>
      <c r="D1566" s="66"/>
      <c r="E1566" s="67" t="s">
        <v>371</v>
      </c>
      <c r="F1566" s="62" t="s">
        <v>17</v>
      </c>
      <c r="G1566" s="68">
        <v>265</v>
      </c>
      <c r="H1566" s="277">
        <f t="shared" si="131"/>
        <v>0</v>
      </c>
      <c r="I1566" s="278">
        <f>ROUND($G1566*H1566,2)</f>
        <v>0</v>
      </c>
    </row>
    <row r="1567" spans="2:9" ht="13.2">
      <c r="B1567" s="367" t="s">
        <v>263</v>
      </c>
      <c r="C1567" s="60" t="s">
        <v>180</v>
      </c>
      <c r="D1567" s="60"/>
      <c r="E1567" s="90" t="s">
        <v>119</v>
      </c>
      <c r="F1567" s="81" t="s">
        <v>13</v>
      </c>
      <c r="G1567" s="228" t="s">
        <v>13</v>
      </c>
      <c r="H1567" s="277" t="s">
        <v>13</v>
      </c>
      <c r="I1567" s="269" t="s">
        <v>13</v>
      </c>
    </row>
    <row r="1568" spans="2:9" ht="22.8">
      <c r="B1568" s="368" t="s">
        <v>264</v>
      </c>
      <c r="C1568" s="83"/>
      <c r="D1568" s="83"/>
      <c r="E1568" s="92" t="s">
        <v>138</v>
      </c>
      <c r="F1568" s="94" t="s">
        <v>363</v>
      </c>
      <c r="G1568" s="68">
        <v>13</v>
      </c>
      <c r="H1568" s="277">
        <f t="shared" si="131"/>
        <v>0</v>
      </c>
      <c r="I1568" s="278">
        <f>ROUND($G1568*H1568,2)</f>
        <v>0</v>
      </c>
    </row>
    <row r="1569" spans="2:9" ht="13.2">
      <c r="B1569" s="369"/>
      <c r="C1569" s="62"/>
      <c r="D1569" s="95"/>
      <c r="E1569" s="87" t="s">
        <v>39</v>
      </c>
      <c r="F1569" s="62" t="s">
        <v>153</v>
      </c>
      <c r="G1569" s="96"/>
      <c r="H1569"/>
      <c r="I1569" s="34" t="s">
        <v>13</v>
      </c>
    </row>
    <row r="1570" spans="2:9" ht="13.2">
      <c r="B1570" s="367" t="s">
        <v>265</v>
      </c>
      <c r="C1570" s="74" t="s">
        <v>181</v>
      </c>
      <c r="D1570" s="75"/>
      <c r="E1570" s="97" t="s">
        <v>139</v>
      </c>
      <c r="F1570" s="62" t="s">
        <v>13</v>
      </c>
      <c r="G1570" s="63" t="s">
        <v>13</v>
      </c>
      <c r="H1570" s="277" t="s">
        <v>13</v>
      </c>
      <c r="I1570" s="269" t="s">
        <v>13</v>
      </c>
    </row>
    <row r="1571" spans="2:9" ht="22.8">
      <c r="B1571" s="368" t="s">
        <v>266</v>
      </c>
      <c r="C1571" s="98"/>
      <c r="D1571" s="99"/>
      <c r="E1571" s="100" t="s">
        <v>140</v>
      </c>
      <c r="F1571" s="62" t="s">
        <v>17</v>
      </c>
      <c r="G1571" s="68">
        <v>15</v>
      </c>
      <c r="H1571" s="277">
        <f t="shared" si="131"/>
        <v>0</v>
      </c>
      <c r="I1571" s="278">
        <f t="shared" ref="I1571:I1572" si="133">ROUND($G1571*H1571,2)</f>
        <v>0</v>
      </c>
    </row>
    <row r="1572" spans="2:9" ht="22.8">
      <c r="B1572" s="368" t="s">
        <v>549</v>
      </c>
      <c r="C1572" s="101"/>
      <c r="D1572" s="102"/>
      <c r="E1572" s="100" t="s">
        <v>141</v>
      </c>
      <c r="F1572" s="62" t="s">
        <v>17</v>
      </c>
      <c r="G1572" s="68">
        <v>4</v>
      </c>
      <c r="H1572" s="277">
        <f t="shared" si="131"/>
        <v>0</v>
      </c>
      <c r="I1572" s="278">
        <f t="shared" si="133"/>
        <v>0</v>
      </c>
    </row>
    <row r="1573" spans="2:9" ht="12">
      <c r="B1573" s="369"/>
      <c r="C1573" s="103"/>
      <c r="D1573" s="104"/>
      <c r="E1573" s="87" t="s">
        <v>43</v>
      </c>
      <c r="F1573" s="62" t="s">
        <v>153</v>
      </c>
      <c r="G1573" s="39"/>
      <c r="H1573" s="41"/>
      <c r="I1573" s="34" t="s">
        <v>13</v>
      </c>
    </row>
    <row r="1574" spans="2:9" ht="13.2">
      <c r="B1574" s="367" t="s">
        <v>272</v>
      </c>
      <c r="C1574" s="375" t="s">
        <v>200</v>
      </c>
      <c r="D1574" s="374"/>
      <c r="E1574" s="376" t="s">
        <v>44</v>
      </c>
      <c r="F1574" s="377"/>
      <c r="G1574" s="431"/>
      <c r="H1574" s="397"/>
      <c r="I1574" s="380"/>
    </row>
    <row r="1575" spans="2:9" ht="12">
      <c r="B1575" s="367" t="s">
        <v>343</v>
      </c>
      <c r="C1575" s="74" t="s">
        <v>167</v>
      </c>
      <c r="D1575" s="74"/>
      <c r="E1575" s="90" t="s">
        <v>132</v>
      </c>
      <c r="F1575" s="62" t="s">
        <v>13</v>
      </c>
      <c r="G1575" s="228" t="s">
        <v>13</v>
      </c>
      <c r="H1575" s="276"/>
      <c r="I1575" s="269" t="s">
        <v>13</v>
      </c>
    </row>
    <row r="1576" spans="2:9" ht="22.8">
      <c r="B1576" s="368" t="s">
        <v>274</v>
      </c>
      <c r="C1576" s="106"/>
      <c r="D1576" s="106"/>
      <c r="E1576" s="279" t="s">
        <v>375</v>
      </c>
      <c r="F1576" s="62" t="s">
        <v>4</v>
      </c>
      <c r="G1576" s="68">
        <v>0.5</v>
      </c>
      <c r="H1576" s="277">
        <f>L1576*$K$5</f>
        <v>0</v>
      </c>
      <c r="I1576" s="278">
        <f t="shared" ref="I1576:I1578" si="134">ROUND($G1576*H1576,2)</f>
        <v>0</v>
      </c>
    </row>
    <row r="1577" spans="2:9" ht="22.8">
      <c r="B1577" s="368" t="s">
        <v>373</v>
      </c>
      <c r="C1577" s="106"/>
      <c r="D1577" s="106"/>
      <c r="E1577" s="279" t="s">
        <v>617</v>
      </c>
      <c r="F1577" s="62" t="s">
        <v>4</v>
      </c>
      <c r="G1577" s="68">
        <v>0.6</v>
      </c>
      <c r="H1577" s="277">
        <f t="shared" ref="H1577:H1580" si="135">L1577*$K$5</f>
        <v>0</v>
      </c>
      <c r="I1577" s="278">
        <f t="shared" si="134"/>
        <v>0</v>
      </c>
    </row>
    <row r="1578" spans="2:9" ht="22.8">
      <c r="B1578" s="368" t="s">
        <v>374</v>
      </c>
      <c r="C1578" s="106"/>
      <c r="D1578" s="106"/>
      <c r="E1578" s="110" t="s">
        <v>618</v>
      </c>
      <c r="F1578" s="62" t="s">
        <v>4</v>
      </c>
      <c r="G1578" s="68">
        <v>15.8</v>
      </c>
      <c r="H1578" s="277">
        <f t="shared" si="135"/>
        <v>0</v>
      </c>
      <c r="I1578" s="278">
        <f t="shared" si="134"/>
        <v>0</v>
      </c>
    </row>
    <row r="1579" spans="2:9" ht="22.8">
      <c r="B1579" s="368" t="s">
        <v>519</v>
      </c>
      <c r="C1579" s="74" t="s">
        <v>355</v>
      </c>
      <c r="D1579" s="74"/>
      <c r="E1579" s="110" t="s">
        <v>357</v>
      </c>
      <c r="F1579" s="170" t="s">
        <v>13</v>
      </c>
      <c r="G1579" s="107" t="s">
        <v>13</v>
      </c>
      <c r="H1579" s="277" t="s">
        <v>13</v>
      </c>
      <c r="I1579" s="48" t="s">
        <v>13</v>
      </c>
    </row>
    <row r="1580" spans="2:9" ht="22.8">
      <c r="B1580" s="368" t="s">
        <v>351</v>
      </c>
      <c r="C1580" s="101"/>
      <c r="D1580" s="101"/>
      <c r="E1580" s="90" t="s">
        <v>154</v>
      </c>
      <c r="F1580" s="109" t="s">
        <v>15</v>
      </c>
      <c r="G1580" s="68">
        <v>80</v>
      </c>
      <c r="H1580" s="277">
        <f t="shared" si="135"/>
        <v>0</v>
      </c>
      <c r="I1580" s="278">
        <f>ROUND($G1580*H1580,2)</f>
        <v>0</v>
      </c>
    </row>
    <row r="1581" spans="2:9" ht="12">
      <c r="B1581" s="369"/>
      <c r="C1581" s="12"/>
      <c r="D1581" s="25"/>
      <c r="E1581" s="87" t="s">
        <v>46</v>
      </c>
      <c r="F1581" s="13" t="s">
        <v>153</v>
      </c>
      <c r="G1581" s="96"/>
      <c r="H1581" s="41"/>
      <c r="I1581" s="34" t="s">
        <v>13</v>
      </c>
    </row>
    <row r="1582" spans="2:9" ht="13.2">
      <c r="B1582" s="367" t="s">
        <v>275</v>
      </c>
      <c r="C1582" s="375" t="s">
        <v>201</v>
      </c>
      <c r="D1582" s="374"/>
      <c r="E1582" s="407" t="s">
        <v>380</v>
      </c>
      <c r="F1582" s="377"/>
      <c r="G1582" s="378"/>
      <c r="H1582" s="397"/>
      <c r="I1582" s="380"/>
    </row>
    <row r="1583" spans="2:9" ht="24">
      <c r="B1583" s="367"/>
      <c r="C1583" s="71"/>
      <c r="D1583" s="72"/>
      <c r="E1583" s="73" t="s">
        <v>241</v>
      </c>
      <c r="F1583" s="30"/>
      <c r="G1583" s="43"/>
      <c r="H1583" s="44"/>
      <c r="I1583" s="36"/>
    </row>
    <row r="1584" spans="2:9" ht="12">
      <c r="B1584" s="367" t="s">
        <v>276</v>
      </c>
      <c r="C1584" s="60" t="s">
        <v>182</v>
      </c>
      <c r="D1584" s="60"/>
      <c r="E1584" s="90" t="s">
        <v>49</v>
      </c>
      <c r="F1584" s="62" t="s">
        <v>13</v>
      </c>
      <c r="G1584" s="63" t="s">
        <v>13</v>
      </c>
      <c r="H1584" s="276" t="s">
        <v>13</v>
      </c>
      <c r="I1584" s="269" t="s">
        <v>13</v>
      </c>
    </row>
    <row r="1585" spans="2:9" ht="34.200000000000003">
      <c r="B1585" s="368" t="s">
        <v>277</v>
      </c>
      <c r="C1585" s="66"/>
      <c r="D1585" s="66"/>
      <c r="E1585" s="110" t="s">
        <v>207</v>
      </c>
      <c r="F1585" s="62" t="s">
        <v>15</v>
      </c>
      <c r="G1585" s="68">
        <v>1250</v>
      </c>
      <c r="H1585" s="277">
        <f>L1585*$K$5</f>
        <v>0</v>
      </c>
      <c r="I1585" s="278">
        <f t="shared" ref="I1585:I1586" si="136">ROUND($G1585*H1585,2)</f>
        <v>0</v>
      </c>
    </row>
    <row r="1586" spans="2:9" ht="45.6">
      <c r="B1586" s="368" t="s">
        <v>278</v>
      </c>
      <c r="C1586" s="83"/>
      <c r="D1586" s="83"/>
      <c r="E1586" s="92" t="s">
        <v>149</v>
      </c>
      <c r="F1586" s="62" t="s">
        <v>15</v>
      </c>
      <c r="G1586" s="68">
        <v>10</v>
      </c>
      <c r="H1586" s="277">
        <f t="shared" ref="H1586:H1594" si="137">L1586*$K$5</f>
        <v>0</v>
      </c>
      <c r="I1586" s="278">
        <f t="shared" si="136"/>
        <v>0</v>
      </c>
    </row>
    <row r="1587" spans="2:9" ht="13.2">
      <c r="B1587" s="367" t="s">
        <v>279</v>
      </c>
      <c r="C1587" s="74" t="s">
        <v>168</v>
      </c>
      <c r="D1587" s="74"/>
      <c r="E1587" s="90" t="s">
        <v>155</v>
      </c>
      <c r="F1587" s="81" t="s">
        <v>13</v>
      </c>
      <c r="G1587" s="228" t="s">
        <v>13</v>
      </c>
      <c r="H1587" s="277" t="s">
        <v>13</v>
      </c>
      <c r="I1587" s="269" t="s">
        <v>13</v>
      </c>
    </row>
    <row r="1588" spans="2:9" ht="22.8">
      <c r="B1588" s="368" t="s">
        <v>280</v>
      </c>
      <c r="C1588" s="103"/>
      <c r="D1588" s="103"/>
      <c r="E1588" s="110" t="s">
        <v>502</v>
      </c>
      <c r="F1588" s="62" t="s">
        <v>15</v>
      </c>
      <c r="G1588" s="68">
        <v>135</v>
      </c>
      <c r="H1588" s="277">
        <f t="shared" si="137"/>
        <v>0</v>
      </c>
      <c r="I1588" s="278">
        <f>ROUND($G1588*H1588,2)</f>
        <v>0</v>
      </c>
    </row>
    <row r="1589" spans="2:9" ht="13.2">
      <c r="B1589" s="367" t="s">
        <v>282</v>
      </c>
      <c r="C1589" s="74" t="s">
        <v>183</v>
      </c>
      <c r="D1589" s="74"/>
      <c r="E1589" s="90" t="s">
        <v>54</v>
      </c>
      <c r="F1589" s="81" t="s">
        <v>13</v>
      </c>
      <c r="G1589" s="228" t="s">
        <v>13</v>
      </c>
      <c r="H1589" s="277" t="s">
        <v>13</v>
      </c>
      <c r="I1589" s="269" t="s">
        <v>13</v>
      </c>
    </row>
    <row r="1590" spans="2:9" ht="22.8">
      <c r="B1590" s="368" t="s">
        <v>283</v>
      </c>
      <c r="C1590" s="98"/>
      <c r="D1590" s="98"/>
      <c r="E1590" s="92" t="s">
        <v>156</v>
      </c>
      <c r="F1590" s="62" t="s">
        <v>15</v>
      </c>
      <c r="G1590" s="68">
        <v>65</v>
      </c>
      <c r="H1590" s="277">
        <f t="shared" si="137"/>
        <v>0</v>
      </c>
      <c r="I1590" s="278">
        <f>ROUND($G1590*H1590,2)</f>
        <v>0</v>
      </c>
    </row>
    <row r="1591" spans="2:9" ht="13.2">
      <c r="B1591" s="367" t="s">
        <v>284</v>
      </c>
      <c r="C1591" s="74" t="s">
        <v>184</v>
      </c>
      <c r="D1591" s="74"/>
      <c r="E1591" s="90" t="s">
        <v>121</v>
      </c>
      <c r="F1591" s="81" t="s">
        <v>13</v>
      </c>
      <c r="G1591" s="228" t="s">
        <v>13</v>
      </c>
      <c r="H1591" s="277" t="s">
        <v>13</v>
      </c>
      <c r="I1591" s="48" t="s">
        <v>13</v>
      </c>
    </row>
    <row r="1592" spans="2:9" ht="22.8">
      <c r="B1592" s="368" t="s">
        <v>285</v>
      </c>
      <c r="C1592" s="98"/>
      <c r="D1592" s="98"/>
      <c r="E1592" s="111" t="s">
        <v>122</v>
      </c>
      <c r="F1592" s="83" t="s">
        <v>15</v>
      </c>
      <c r="G1592" s="68">
        <v>205</v>
      </c>
      <c r="H1592" s="277">
        <f t="shared" si="137"/>
        <v>0</v>
      </c>
      <c r="I1592" s="278">
        <f>ROUND($G1592*H1592,2)</f>
        <v>0</v>
      </c>
    </row>
    <row r="1593" spans="2:9" ht="13.2">
      <c r="B1593" s="367" t="s">
        <v>286</v>
      </c>
      <c r="C1593" s="74" t="s">
        <v>185</v>
      </c>
      <c r="D1593" s="74"/>
      <c r="E1593" s="90" t="s">
        <v>151</v>
      </c>
      <c r="F1593" s="81" t="s">
        <v>13</v>
      </c>
      <c r="G1593" s="228" t="s">
        <v>13</v>
      </c>
      <c r="H1593" s="277" t="s">
        <v>13</v>
      </c>
      <c r="I1593" s="269" t="s">
        <v>13</v>
      </c>
    </row>
    <row r="1594" spans="2:9" ht="22.8">
      <c r="B1594" s="368" t="s">
        <v>287</v>
      </c>
      <c r="C1594" s="98"/>
      <c r="D1594" s="98"/>
      <c r="E1594" s="90" t="s">
        <v>152</v>
      </c>
      <c r="F1594" s="83" t="s">
        <v>15</v>
      </c>
      <c r="G1594" s="68">
        <v>80</v>
      </c>
      <c r="H1594" s="277">
        <f t="shared" si="137"/>
        <v>0</v>
      </c>
      <c r="I1594" s="278">
        <f>ROUND($G1594*H1594,2)</f>
        <v>0</v>
      </c>
    </row>
    <row r="1595" spans="2:9" ht="12">
      <c r="B1595" s="369"/>
      <c r="C1595" s="12"/>
      <c r="D1595" s="25"/>
      <c r="E1595" s="87" t="s">
        <v>58</v>
      </c>
      <c r="F1595" s="13" t="s">
        <v>153</v>
      </c>
      <c r="G1595" s="96"/>
      <c r="H1595" s="41"/>
      <c r="I1595" s="34" t="s">
        <v>13</v>
      </c>
    </row>
    <row r="1596" spans="2:9" ht="13.2">
      <c r="B1596" s="367" t="s">
        <v>288</v>
      </c>
      <c r="C1596" s="385" t="s">
        <v>186</v>
      </c>
      <c r="D1596" s="386"/>
      <c r="E1596" s="387" t="s">
        <v>81</v>
      </c>
      <c r="F1596" s="388"/>
      <c r="G1596" s="378"/>
      <c r="H1596" s="437"/>
      <c r="I1596" s="380"/>
    </row>
    <row r="1597" spans="2:9" ht="24">
      <c r="B1597" s="367"/>
      <c r="C1597" s="71"/>
      <c r="D1597" s="72"/>
      <c r="E1597" s="73" t="s">
        <v>241</v>
      </c>
      <c r="F1597" s="30"/>
      <c r="G1597" s="231"/>
      <c r="H1597" s="44"/>
      <c r="I1597" s="271"/>
    </row>
    <row r="1598" spans="2:9" ht="12">
      <c r="B1598" s="367" t="s">
        <v>289</v>
      </c>
      <c r="C1598" s="74" t="s">
        <v>381</v>
      </c>
      <c r="D1598" s="91"/>
      <c r="E1598" s="172" t="s">
        <v>382</v>
      </c>
      <c r="F1598" s="62" t="s">
        <v>13</v>
      </c>
      <c r="G1598" s="233" t="s">
        <v>13</v>
      </c>
      <c r="H1598" s="276" t="s">
        <v>13</v>
      </c>
      <c r="I1598" s="269" t="s">
        <v>13</v>
      </c>
    </row>
    <row r="1599" spans="2:9" ht="22.8">
      <c r="B1599" s="368" t="s">
        <v>290</v>
      </c>
      <c r="C1599" s="173"/>
      <c r="D1599" s="173"/>
      <c r="E1599" s="67" t="s">
        <v>383</v>
      </c>
      <c r="F1599" s="62" t="s">
        <v>3</v>
      </c>
      <c r="G1599" s="68">
        <v>5</v>
      </c>
      <c r="H1599" s="277">
        <f>L1599*$K$5</f>
        <v>0</v>
      </c>
      <c r="I1599" s="278">
        <f>ROUND($G1599*H1599,2)</f>
        <v>0</v>
      </c>
    </row>
    <row r="1600" spans="2:9" ht="13.2">
      <c r="B1600" s="367" t="s">
        <v>384</v>
      </c>
      <c r="C1600" s="74" t="s">
        <v>187</v>
      </c>
      <c r="D1600" s="74"/>
      <c r="E1600" s="61" t="s">
        <v>360</v>
      </c>
      <c r="F1600" s="62" t="s">
        <v>13</v>
      </c>
      <c r="G1600" s="233" t="s">
        <v>13</v>
      </c>
      <c r="H1600" s="277" t="s">
        <v>13</v>
      </c>
      <c r="I1600" s="269" t="s">
        <v>13</v>
      </c>
    </row>
    <row r="1601" spans="2:9" ht="22.8">
      <c r="B1601" s="368" t="s">
        <v>385</v>
      </c>
      <c r="C1601" s="115"/>
      <c r="D1601" s="115"/>
      <c r="E1601" s="67" t="s">
        <v>386</v>
      </c>
      <c r="F1601" s="62" t="s">
        <v>4</v>
      </c>
      <c r="G1601" s="68">
        <v>15</v>
      </c>
      <c r="H1601" s="277">
        <f t="shared" ref="H1601:H1603" si="138">L1601*$K$5</f>
        <v>0</v>
      </c>
      <c r="I1601" s="278">
        <f t="shared" ref="I1601:I1603" si="139">ROUND($G1601*H1601,2)</f>
        <v>0</v>
      </c>
    </row>
    <row r="1602" spans="2:9" ht="22.8">
      <c r="B1602" s="368" t="s">
        <v>387</v>
      </c>
      <c r="C1602" s="115"/>
      <c r="D1602" s="115"/>
      <c r="E1602" s="67" t="s">
        <v>388</v>
      </c>
      <c r="F1602" s="62" t="s">
        <v>4</v>
      </c>
      <c r="G1602" s="68">
        <v>28</v>
      </c>
      <c r="H1602" s="277">
        <f t="shared" si="138"/>
        <v>0</v>
      </c>
      <c r="I1602" s="278">
        <f t="shared" si="139"/>
        <v>0</v>
      </c>
    </row>
    <row r="1603" spans="2:9" ht="22.8">
      <c r="B1603" s="368" t="s">
        <v>389</v>
      </c>
      <c r="C1603" s="115"/>
      <c r="D1603" s="115"/>
      <c r="E1603" s="116" t="s">
        <v>157</v>
      </c>
      <c r="F1603" s="62" t="s">
        <v>3</v>
      </c>
      <c r="G1603" s="68">
        <v>3</v>
      </c>
      <c r="H1603" s="277">
        <f t="shared" si="138"/>
        <v>0</v>
      </c>
      <c r="I1603" s="278">
        <f t="shared" si="139"/>
        <v>0</v>
      </c>
    </row>
    <row r="1604" spans="2:9" ht="12">
      <c r="B1604" s="369"/>
      <c r="C1604" s="73"/>
      <c r="D1604" s="118"/>
      <c r="E1604" s="112" t="s">
        <v>85</v>
      </c>
      <c r="F1604" s="13" t="s">
        <v>153</v>
      </c>
      <c r="G1604" s="119"/>
      <c r="H1604" s="41"/>
      <c r="I1604" s="34" t="s">
        <v>13</v>
      </c>
    </row>
    <row r="1605" spans="2:9" ht="13.2">
      <c r="B1605" s="367" t="s">
        <v>390</v>
      </c>
      <c r="C1605" s="385" t="s">
        <v>391</v>
      </c>
      <c r="D1605" s="386"/>
      <c r="E1605" s="387" t="s">
        <v>392</v>
      </c>
      <c r="F1605" s="388"/>
      <c r="G1605" s="431"/>
      <c r="H1605" s="437"/>
      <c r="I1605" s="380"/>
    </row>
    <row r="1606" spans="2:9" ht="24">
      <c r="B1606" s="367"/>
      <c r="C1606" s="71"/>
      <c r="D1606" s="72"/>
      <c r="E1606" s="73" t="s">
        <v>241</v>
      </c>
      <c r="F1606" s="30"/>
      <c r="G1606" s="43"/>
      <c r="H1606" s="44"/>
      <c r="I1606" s="36"/>
    </row>
    <row r="1607" spans="2:9">
      <c r="B1607" s="368" t="s">
        <v>393</v>
      </c>
      <c r="C1607" s="74" t="s">
        <v>394</v>
      </c>
      <c r="D1607" s="75"/>
      <c r="E1607" s="122" t="s">
        <v>395</v>
      </c>
      <c r="F1607" s="62" t="s">
        <v>13</v>
      </c>
      <c r="G1607" s="63" t="s">
        <v>13</v>
      </c>
      <c r="H1607" s="276" t="s">
        <v>13</v>
      </c>
      <c r="I1607" s="48" t="s">
        <v>13</v>
      </c>
    </row>
    <row r="1608" spans="2:9">
      <c r="B1608" s="368" t="s">
        <v>396</v>
      </c>
      <c r="C1608" s="98"/>
      <c r="D1608" s="99"/>
      <c r="E1608" s="122" t="s">
        <v>397</v>
      </c>
      <c r="F1608" s="62" t="s">
        <v>13</v>
      </c>
      <c r="G1608" s="63" t="s">
        <v>13</v>
      </c>
      <c r="H1608" s="276" t="s">
        <v>13</v>
      </c>
      <c r="I1608" s="48" t="s">
        <v>13</v>
      </c>
    </row>
    <row r="1609" spans="2:9" ht="13.2">
      <c r="B1609" s="368" t="s">
        <v>398</v>
      </c>
      <c r="C1609" s="103"/>
      <c r="D1609" s="104"/>
      <c r="E1609" s="80" t="s">
        <v>619</v>
      </c>
      <c r="F1609" s="62" t="s">
        <v>3</v>
      </c>
      <c r="G1609" s="68">
        <v>1</v>
      </c>
      <c r="H1609" s="277">
        <f>L1609*$K$5</f>
        <v>0</v>
      </c>
      <c r="I1609" s="278">
        <f t="shared" ref="I1609:I1611" si="140">ROUND($G1609*H1609,2)</f>
        <v>0</v>
      </c>
    </row>
    <row r="1610" spans="2:9" ht="13.2">
      <c r="B1610" s="368" t="s">
        <v>400</v>
      </c>
      <c r="C1610" s="103"/>
      <c r="D1610" s="104"/>
      <c r="E1610" s="80" t="s">
        <v>620</v>
      </c>
      <c r="F1610" s="62" t="s">
        <v>3</v>
      </c>
      <c r="G1610" s="68">
        <v>1</v>
      </c>
      <c r="H1610" s="277">
        <f t="shared" ref="H1610:H1611" si="141">L1610*$K$5</f>
        <v>0</v>
      </c>
      <c r="I1610" s="278">
        <f t="shared" si="140"/>
        <v>0</v>
      </c>
    </row>
    <row r="1611" spans="2:9" ht="13.2">
      <c r="B1611" s="368" t="s">
        <v>402</v>
      </c>
      <c r="C1611" s="101"/>
      <c r="D1611" s="102"/>
      <c r="E1611" s="80" t="s">
        <v>621</v>
      </c>
      <c r="F1611" s="62" t="s">
        <v>3</v>
      </c>
      <c r="G1611" s="68">
        <v>2</v>
      </c>
      <c r="H1611" s="277">
        <f t="shared" si="141"/>
        <v>0</v>
      </c>
      <c r="I1611" s="278">
        <f t="shared" si="140"/>
        <v>0</v>
      </c>
    </row>
    <row r="1612" spans="2:9" ht="12">
      <c r="B1612" s="369"/>
      <c r="C1612" s="12"/>
      <c r="D1612" s="25"/>
      <c r="E1612" s="87" t="s">
        <v>404</v>
      </c>
      <c r="F1612" s="13" t="s">
        <v>153</v>
      </c>
      <c r="G1612" s="119"/>
      <c r="H1612" s="41"/>
      <c r="I1612" s="34" t="s">
        <v>13</v>
      </c>
    </row>
    <row r="1613" spans="2:9" ht="13.2">
      <c r="B1613" s="367" t="s">
        <v>292</v>
      </c>
      <c r="C1613" s="375" t="s">
        <v>188</v>
      </c>
      <c r="D1613" s="374"/>
      <c r="E1613" s="376" t="s">
        <v>59</v>
      </c>
      <c r="F1613" s="377"/>
      <c r="G1613" s="378"/>
      <c r="H1613" s="397"/>
      <c r="I1613" s="380"/>
    </row>
    <row r="1614" spans="2:9" ht="24">
      <c r="B1614" s="367"/>
      <c r="C1614" s="71"/>
      <c r="D1614" s="72"/>
      <c r="E1614" s="73" t="s">
        <v>241</v>
      </c>
      <c r="F1614" s="30"/>
      <c r="G1614" s="43"/>
      <c r="H1614" s="44"/>
      <c r="I1614" s="36"/>
    </row>
    <row r="1615" spans="2:9" ht="12">
      <c r="B1615" s="367" t="s">
        <v>293</v>
      </c>
      <c r="C1615" s="120" t="s">
        <v>405</v>
      </c>
      <c r="D1615" s="121"/>
      <c r="E1615" s="122" t="s">
        <v>406</v>
      </c>
      <c r="F1615" s="62" t="s">
        <v>13</v>
      </c>
      <c r="G1615" s="63" t="s">
        <v>13</v>
      </c>
      <c r="H1615" s="276" t="s">
        <v>13</v>
      </c>
      <c r="I1615" s="269" t="s">
        <v>13</v>
      </c>
    </row>
    <row r="1616" spans="2:9" ht="57">
      <c r="B1616" s="368" t="s">
        <v>294</v>
      </c>
      <c r="C1616" s="123"/>
      <c r="D1616" s="124"/>
      <c r="E1616" s="80" t="s">
        <v>407</v>
      </c>
      <c r="F1616" s="81" t="s">
        <v>4</v>
      </c>
      <c r="G1616" s="68">
        <v>14.6</v>
      </c>
      <c r="H1616" s="277">
        <f>L1616*$K$5</f>
        <v>0</v>
      </c>
      <c r="I1616" s="278">
        <f t="shared" ref="I1616:I1617" si="142">ROUND($G1616*H1616,2)</f>
        <v>0</v>
      </c>
    </row>
    <row r="1617" spans="2:9" ht="34.200000000000003">
      <c r="B1617" s="368" t="s">
        <v>622</v>
      </c>
      <c r="C1617" s="125"/>
      <c r="D1617" s="126"/>
      <c r="E1617" s="127" t="s">
        <v>144</v>
      </c>
      <c r="F1617" s="128" t="s">
        <v>4</v>
      </c>
      <c r="G1617" s="68">
        <v>11</v>
      </c>
      <c r="H1617" s="277">
        <f>L1617*$K$5</f>
        <v>0</v>
      </c>
      <c r="I1617" s="278">
        <f t="shared" si="142"/>
        <v>0</v>
      </c>
    </row>
    <row r="1618" spans="2:9" ht="12">
      <c r="B1618" s="369"/>
      <c r="C1618" s="129"/>
      <c r="D1618" s="130"/>
      <c r="E1618" s="87" t="s">
        <v>61</v>
      </c>
      <c r="F1618" s="13" t="s">
        <v>153</v>
      </c>
      <c r="G1618" s="119"/>
      <c r="H1618" s="41"/>
      <c r="I1618" s="34" t="s">
        <v>13</v>
      </c>
    </row>
    <row r="1619" spans="2:9" ht="13.2">
      <c r="B1619" s="367" t="s">
        <v>297</v>
      </c>
      <c r="C1619" s="375" t="s">
        <v>190</v>
      </c>
      <c r="D1619" s="374"/>
      <c r="E1619" s="376" t="s">
        <v>62</v>
      </c>
      <c r="F1619" s="377"/>
      <c r="G1619" s="378"/>
      <c r="H1619" s="397"/>
      <c r="I1619" s="380"/>
    </row>
    <row r="1620" spans="2:9" ht="24">
      <c r="B1620" s="367"/>
      <c r="C1620" s="71"/>
      <c r="D1620" s="72"/>
      <c r="E1620" s="73" t="s">
        <v>241</v>
      </c>
      <c r="F1620" s="30"/>
      <c r="G1620" s="40"/>
      <c r="H1620" s="44"/>
      <c r="I1620" s="36"/>
    </row>
    <row r="1621" spans="2:9" ht="12">
      <c r="B1621" s="367" t="s">
        <v>298</v>
      </c>
      <c r="C1621" s="60" t="s">
        <v>191</v>
      </c>
      <c r="D1621" s="60"/>
      <c r="E1621" s="90" t="s">
        <v>244</v>
      </c>
      <c r="F1621" s="62" t="s">
        <v>13</v>
      </c>
      <c r="G1621" s="63" t="s">
        <v>13</v>
      </c>
      <c r="H1621" s="276" t="s">
        <v>13</v>
      </c>
      <c r="I1621" s="269" t="s">
        <v>13</v>
      </c>
    </row>
    <row r="1622" spans="2:9" ht="22.8">
      <c r="B1622" s="368" t="s">
        <v>299</v>
      </c>
      <c r="C1622" s="66"/>
      <c r="D1622" s="66"/>
      <c r="E1622" s="133" t="s">
        <v>245</v>
      </c>
      <c r="F1622" s="132" t="s">
        <v>23</v>
      </c>
      <c r="G1622" s="68">
        <v>1250</v>
      </c>
      <c r="H1622" s="277">
        <f>L1622*$K$5</f>
        <v>0</v>
      </c>
      <c r="I1622" s="278">
        <f t="shared" ref="I1622:I1623" si="143">ROUND($G1622*H1622,2)</f>
        <v>0</v>
      </c>
    </row>
    <row r="1623" spans="2:9" ht="22.8">
      <c r="B1623" s="368" t="s">
        <v>300</v>
      </c>
      <c r="C1623" s="66"/>
      <c r="D1623" s="66"/>
      <c r="E1623" s="133" t="s">
        <v>246</v>
      </c>
      <c r="F1623" s="132" t="s">
        <v>23</v>
      </c>
      <c r="G1623" s="68">
        <v>470</v>
      </c>
      <c r="H1623" s="277">
        <f>L1623*$K$5</f>
        <v>0</v>
      </c>
      <c r="I1623" s="278">
        <f t="shared" si="143"/>
        <v>0</v>
      </c>
    </row>
    <row r="1624" spans="2:9" ht="12">
      <c r="B1624" s="369"/>
      <c r="C1624" s="12"/>
      <c r="D1624" s="25"/>
      <c r="E1624" s="87" t="s">
        <v>63</v>
      </c>
      <c r="F1624" s="13"/>
      <c r="G1624" s="134"/>
      <c r="H1624" s="41"/>
      <c r="I1624" s="34" t="s">
        <v>13</v>
      </c>
    </row>
    <row r="1625" spans="2:9" ht="13.2">
      <c r="B1625" s="367" t="s">
        <v>301</v>
      </c>
      <c r="C1625" s="375" t="s">
        <v>192</v>
      </c>
      <c r="D1625" s="374"/>
      <c r="E1625" s="376" t="s">
        <v>64</v>
      </c>
      <c r="F1625" s="377"/>
      <c r="G1625" s="378"/>
      <c r="H1625" s="397"/>
      <c r="I1625" s="380"/>
    </row>
    <row r="1626" spans="2:9" ht="24">
      <c r="B1626" s="367"/>
      <c r="C1626" s="71"/>
      <c r="D1626" s="72"/>
      <c r="E1626" s="73" t="s">
        <v>241</v>
      </c>
      <c r="F1626" s="30"/>
      <c r="G1626" s="40"/>
      <c r="H1626" s="36"/>
      <c r="I1626" s="36"/>
    </row>
    <row r="1627" spans="2:9" ht="12">
      <c r="B1627" s="367" t="s">
        <v>302</v>
      </c>
      <c r="C1627" s="60" t="s">
        <v>193</v>
      </c>
      <c r="D1627" s="60"/>
      <c r="E1627" s="135" t="s">
        <v>66</v>
      </c>
      <c r="F1627" s="136" t="s">
        <v>13</v>
      </c>
      <c r="G1627" s="140" t="s">
        <v>13</v>
      </c>
      <c r="H1627" s="280" t="s">
        <v>13</v>
      </c>
      <c r="I1627" s="269" t="s">
        <v>13</v>
      </c>
    </row>
    <row r="1628" spans="2:9" ht="22.8">
      <c r="B1628" s="368" t="s">
        <v>303</v>
      </c>
      <c r="C1628" s="83"/>
      <c r="D1628" s="83"/>
      <c r="E1628" s="116" t="s">
        <v>158</v>
      </c>
      <c r="F1628" s="137" t="s">
        <v>16</v>
      </c>
      <c r="G1628" s="68">
        <v>144</v>
      </c>
      <c r="H1628" s="277">
        <f>L1628*$K$5</f>
        <v>0</v>
      </c>
      <c r="I1628" s="278">
        <f>ROUND($G1628*H1628,2)</f>
        <v>0</v>
      </c>
    </row>
    <row r="1629" spans="2:9" ht="13.2">
      <c r="B1629" s="367" t="s">
        <v>304</v>
      </c>
      <c r="C1629" s="74" t="s">
        <v>194</v>
      </c>
      <c r="D1629" s="74"/>
      <c r="E1629" s="135" t="s">
        <v>68</v>
      </c>
      <c r="F1629" s="136" t="s">
        <v>13</v>
      </c>
      <c r="G1629" s="140" t="s">
        <v>13</v>
      </c>
      <c r="H1629" s="277" t="s">
        <v>13</v>
      </c>
      <c r="I1629" s="269" t="s">
        <v>13</v>
      </c>
    </row>
    <row r="1630" spans="2:9" ht="34.799999999999997">
      <c r="B1630" s="368" t="s">
        <v>305</v>
      </c>
      <c r="C1630" s="98"/>
      <c r="D1630" s="98"/>
      <c r="E1630" s="116" t="s">
        <v>554</v>
      </c>
      <c r="F1630" s="136" t="s">
        <v>4</v>
      </c>
      <c r="G1630" s="68">
        <v>30</v>
      </c>
      <c r="H1630" s="277">
        <f t="shared" ref="H1630:H1651" si="144">L1630*$K$5</f>
        <v>0</v>
      </c>
      <c r="I1630" s="278">
        <f t="shared" ref="I1630:I1631" si="145">ROUND($G1630*H1630,2)</f>
        <v>0</v>
      </c>
    </row>
    <row r="1631" spans="2:9" ht="13.2">
      <c r="B1631" s="368" t="s">
        <v>306</v>
      </c>
      <c r="C1631" s="101"/>
      <c r="D1631" s="103"/>
      <c r="E1631" s="138" t="s">
        <v>133</v>
      </c>
      <c r="F1631" s="136" t="s">
        <v>3</v>
      </c>
      <c r="G1631" s="68">
        <v>2</v>
      </c>
      <c r="H1631" s="277">
        <f t="shared" si="144"/>
        <v>0</v>
      </c>
      <c r="I1631" s="278">
        <f t="shared" si="145"/>
        <v>0</v>
      </c>
    </row>
    <row r="1632" spans="2:9" ht="13.2">
      <c r="B1632" s="367" t="s">
        <v>307</v>
      </c>
      <c r="C1632" s="74" t="s">
        <v>169</v>
      </c>
      <c r="D1632" s="75"/>
      <c r="E1632" s="122" t="s">
        <v>69</v>
      </c>
      <c r="F1632" s="62" t="s">
        <v>13</v>
      </c>
      <c r="G1632" s="63" t="s">
        <v>13</v>
      </c>
      <c r="H1632" s="277" t="s">
        <v>13</v>
      </c>
      <c r="I1632" s="269" t="s">
        <v>13</v>
      </c>
    </row>
    <row r="1633" spans="2:9" ht="34.200000000000003">
      <c r="B1633" s="368" t="s">
        <v>308</v>
      </c>
      <c r="C1633" s="98"/>
      <c r="D1633" s="99"/>
      <c r="E1633" s="80" t="s">
        <v>161</v>
      </c>
      <c r="F1633" s="81" t="s">
        <v>16</v>
      </c>
      <c r="G1633" s="68">
        <v>180</v>
      </c>
      <c r="H1633" s="277">
        <f t="shared" si="144"/>
        <v>0</v>
      </c>
      <c r="I1633" s="278">
        <f t="shared" ref="I1633:I1635" si="146">ROUND($G1633*H1633,2)</f>
        <v>0</v>
      </c>
    </row>
    <row r="1634" spans="2:9" ht="22.8">
      <c r="B1634" s="368" t="s">
        <v>309</v>
      </c>
      <c r="C1634" s="98"/>
      <c r="D1634" s="99"/>
      <c r="E1634" s="80" t="s">
        <v>70</v>
      </c>
      <c r="F1634" s="62" t="s">
        <v>4</v>
      </c>
      <c r="G1634" s="68">
        <v>24</v>
      </c>
      <c r="H1634" s="277">
        <f t="shared" si="144"/>
        <v>0</v>
      </c>
      <c r="I1634" s="278">
        <f t="shared" si="146"/>
        <v>0</v>
      </c>
    </row>
    <row r="1635" spans="2:9" ht="22.8">
      <c r="B1635" s="368" t="s">
        <v>310</v>
      </c>
      <c r="C1635" s="98"/>
      <c r="D1635" s="98"/>
      <c r="E1635" s="139" t="s">
        <v>142</v>
      </c>
      <c r="F1635" s="62" t="s">
        <v>4</v>
      </c>
      <c r="G1635" s="68">
        <v>25</v>
      </c>
      <c r="H1635" s="277">
        <f t="shared" si="144"/>
        <v>0</v>
      </c>
      <c r="I1635" s="278">
        <f t="shared" si="146"/>
        <v>0</v>
      </c>
    </row>
    <row r="1636" spans="2:9" ht="13.2">
      <c r="B1636" s="367" t="s">
        <v>311</v>
      </c>
      <c r="C1636" s="60" t="s">
        <v>195</v>
      </c>
      <c r="D1636" s="60"/>
      <c r="E1636" s="90" t="s">
        <v>71</v>
      </c>
      <c r="F1636" s="140" t="s">
        <v>13</v>
      </c>
      <c r="G1636" s="140" t="s">
        <v>13</v>
      </c>
      <c r="H1636" s="277" t="s">
        <v>13</v>
      </c>
      <c r="I1636" s="269" t="s">
        <v>13</v>
      </c>
    </row>
    <row r="1637" spans="2:9" ht="57">
      <c r="B1637" s="368" t="s">
        <v>312</v>
      </c>
      <c r="C1637" s="66"/>
      <c r="D1637" s="66"/>
      <c r="E1637" s="141" t="s">
        <v>127</v>
      </c>
      <c r="F1637" s="137" t="s">
        <v>16</v>
      </c>
      <c r="G1637" s="68">
        <v>420</v>
      </c>
      <c r="H1637" s="277">
        <f t="shared" si="144"/>
        <v>0</v>
      </c>
      <c r="I1637" s="278">
        <f t="shared" ref="I1637:I1638" si="147">ROUND($G1637*H1637,2)</f>
        <v>0</v>
      </c>
    </row>
    <row r="1638" spans="2:9" ht="45.6">
      <c r="B1638" s="368" t="s">
        <v>313</v>
      </c>
      <c r="C1638" s="83"/>
      <c r="D1638" s="83"/>
      <c r="E1638" s="67" t="s">
        <v>125</v>
      </c>
      <c r="F1638" s="81" t="s">
        <v>16</v>
      </c>
      <c r="G1638" s="68">
        <v>70</v>
      </c>
      <c r="H1638" s="277">
        <f>L1638*$K$5</f>
        <v>0</v>
      </c>
      <c r="I1638" s="278">
        <f t="shared" si="147"/>
        <v>0</v>
      </c>
    </row>
    <row r="1639" spans="2:9" ht="13.2">
      <c r="B1639" s="367" t="s">
        <v>314</v>
      </c>
      <c r="C1639" s="60" t="s">
        <v>170</v>
      </c>
      <c r="D1639" s="60"/>
      <c r="E1639" s="61" t="s">
        <v>72</v>
      </c>
      <c r="F1639" s="81" t="s">
        <v>13</v>
      </c>
      <c r="G1639" s="143" t="s">
        <v>13</v>
      </c>
      <c r="H1639" s="277" t="s">
        <v>13</v>
      </c>
      <c r="I1639" s="269" t="s">
        <v>13</v>
      </c>
    </row>
    <row r="1640" spans="2:9" ht="34.200000000000003">
      <c r="B1640" s="368" t="s">
        <v>315</v>
      </c>
      <c r="C1640" s="66"/>
      <c r="D1640" s="66"/>
      <c r="E1640" s="144" t="s">
        <v>148</v>
      </c>
      <c r="F1640" s="81" t="s">
        <v>4</v>
      </c>
      <c r="G1640" s="68">
        <v>13.2</v>
      </c>
      <c r="H1640" s="277">
        <f t="shared" si="144"/>
        <v>0</v>
      </c>
      <c r="I1640" s="278">
        <f>ROUND($G1640*H1640,2)</f>
        <v>0</v>
      </c>
    </row>
    <row r="1641" spans="2:9" ht="22.8">
      <c r="B1641" s="367" t="s">
        <v>316</v>
      </c>
      <c r="C1641" s="60" t="s">
        <v>196</v>
      </c>
      <c r="D1641" s="60"/>
      <c r="E1641" s="145" t="s">
        <v>131</v>
      </c>
      <c r="F1641" s="146" t="s">
        <v>13</v>
      </c>
      <c r="G1641" s="245" t="s">
        <v>13</v>
      </c>
      <c r="H1641" s="277" t="s">
        <v>13</v>
      </c>
      <c r="I1641" s="269" t="s">
        <v>13</v>
      </c>
    </row>
    <row r="1642" spans="2:9" ht="34.200000000000003">
      <c r="B1642" s="368" t="s">
        <v>317</v>
      </c>
      <c r="C1642" s="66"/>
      <c r="D1642" s="66"/>
      <c r="E1642" s="147" t="s">
        <v>529</v>
      </c>
      <c r="F1642" s="146" t="s">
        <v>4</v>
      </c>
      <c r="G1642" s="68">
        <v>24</v>
      </c>
      <c r="H1642" s="277">
        <f>L1642*$K$5</f>
        <v>0</v>
      </c>
      <c r="I1642" s="278">
        <f t="shared" ref="I1642:I1644" si="148">ROUND($G1642*H1642,2)</f>
        <v>0</v>
      </c>
    </row>
    <row r="1643" spans="2:9" ht="22.8">
      <c r="B1643" s="368" t="s">
        <v>318</v>
      </c>
      <c r="C1643" s="66"/>
      <c r="D1643" s="66"/>
      <c r="E1643" s="147" t="s">
        <v>147</v>
      </c>
      <c r="F1643" s="146" t="s">
        <v>4</v>
      </c>
      <c r="G1643" s="68">
        <v>9.5</v>
      </c>
      <c r="H1643" s="277">
        <f t="shared" si="144"/>
        <v>0</v>
      </c>
      <c r="I1643" s="278">
        <f t="shared" si="148"/>
        <v>0</v>
      </c>
    </row>
    <row r="1644" spans="2:9" ht="15.6">
      <c r="B1644" s="368" t="s">
        <v>319</v>
      </c>
      <c r="C1644" s="66"/>
      <c r="D1644" s="66"/>
      <c r="E1644" s="147" t="s">
        <v>145</v>
      </c>
      <c r="F1644" s="146" t="s">
        <v>76</v>
      </c>
      <c r="G1644" s="68">
        <v>2</v>
      </c>
      <c r="H1644" s="277">
        <f t="shared" si="144"/>
        <v>0</v>
      </c>
      <c r="I1644" s="278">
        <f t="shared" si="148"/>
        <v>0</v>
      </c>
    </row>
    <row r="1645" spans="2:9" ht="22.8">
      <c r="B1645" s="367" t="s">
        <v>320</v>
      </c>
      <c r="C1645" s="74" t="s">
        <v>197</v>
      </c>
      <c r="D1645" s="74"/>
      <c r="E1645" s="148" t="s">
        <v>73</v>
      </c>
      <c r="F1645" s="81" t="s">
        <v>13</v>
      </c>
      <c r="G1645" s="228" t="s">
        <v>13</v>
      </c>
      <c r="H1645" s="277" t="s">
        <v>13</v>
      </c>
      <c r="I1645" s="269" t="s">
        <v>13</v>
      </c>
    </row>
    <row r="1646" spans="2:9" ht="13.2">
      <c r="B1646" s="368" t="s">
        <v>321</v>
      </c>
      <c r="C1646" s="98"/>
      <c r="D1646" s="98"/>
      <c r="E1646" s="149" t="s">
        <v>74</v>
      </c>
      <c r="F1646" s="136" t="s">
        <v>3</v>
      </c>
      <c r="G1646" s="68">
        <v>1</v>
      </c>
      <c r="H1646" s="277">
        <f t="shared" si="144"/>
        <v>0</v>
      </c>
      <c r="I1646" s="278">
        <f t="shared" ref="I1646:I1647" si="149">ROUND($G1646*H1646,2)</f>
        <v>0</v>
      </c>
    </row>
    <row r="1647" spans="2:9" ht="22.8">
      <c r="B1647" s="368" t="s">
        <v>322</v>
      </c>
      <c r="C1647" s="101"/>
      <c r="D1647" s="101"/>
      <c r="E1647" s="150" t="s">
        <v>128</v>
      </c>
      <c r="F1647" s="151" t="s">
        <v>3</v>
      </c>
      <c r="G1647" s="68">
        <v>12</v>
      </c>
      <c r="H1647" s="277">
        <f t="shared" si="144"/>
        <v>0</v>
      </c>
      <c r="I1647" s="278">
        <f t="shared" si="149"/>
        <v>0</v>
      </c>
    </row>
    <row r="1648" spans="2:9" ht="13.2">
      <c r="B1648" s="367" t="s">
        <v>323</v>
      </c>
      <c r="C1648" s="60" t="s">
        <v>198</v>
      </c>
      <c r="D1648" s="60"/>
      <c r="E1648" s="152" t="s">
        <v>75</v>
      </c>
      <c r="F1648" s="153" t="s">
        <v>13</v>
      </c>
      <c r="G1648" s="235" t="s">
        <v>13</v>
      </c>
      <c r="H1648" s="277" t="s">
        <v>13</v>
      </c>
      <c r="I1648" s="269" t="s">
        <v>13</v>
      </c>
    </row>
    <row r="1649" spans="2:9" ht="13.2">
      <c r="B1649" s="368" t="s">
        <v>324</v>
      </c>
      <c r="C1649" s="83"/>
      <c r="D1649" s="66"/>
      <c r="E1649" s="141" t="s">
        <v>164</v>
      </c>
      <c r="F1649" s="137" t="s">
        <v>16</v>
      </c>
      <c r="G1649" s="68">
        <v>45</v>
      </c>
      <c r="H1649" s="277">
        <f t="shared" si="144"/>
        <v>0</v>
      </c>
      <c r="I1649" s="278">
        <f>ROUND($G1649*H1649,2)</f>
        <v>0</v>
      </c>
    </row>
    <row r="1650" spans="2:9" ht="13.2">
      <c r="B1650" s="367" t="s">
        <v>325</v>
      </c>
      <c r="C1650" s="60" t="s">
        <v>199</v>
      </c>
      <c r="D1650" s="60"/>
      <c r="E1650" s="152" t="s">
        <v>110</v>
      </c>
      <c r="F1650" s="151" t="s">
        <v>13</v>
      </c>
      <c r="G1650" s="154" t="s">
        <v>13</v>
      </c>
      <c r="H1650" s="277" t="s">
        <v>13</v>
      </c>
      <c r="I1650" s="269" t="s">
        <v>13</v>
      </c>
    </row>
    <row r="1651" spans="2:9" ht="22.8">
      <c r="B1651" s="370" t="s">
        <v>326</v>
      </c>
      <c r="C1651" s="66"/>
      <c r="D1651" s="82"/>
      <c r="E1651" s="155" t="s">
        <v>126</v>
      </c>
      <c r="F1651" s="81" t="s">
        <v>16</v>
      </c>
      <c r="G1651" s="68">
        <v>88</v>
      </c>
      <c r="H1651" s="277">
        <f t="shared" si="144"/>
        <v>0</v>
      </c>
      <c r="I1651" s="278">
        <f t="shared" ref="I1651" si="150">ROUND($G1651*H1651,2)</f>
        <v>0</v>
      </c>
    </row>
    <row r="1652" spans="2:9" ht="13.2">
      <c r="B1652" s="369"/>
      <c r="C1652" s="12"/>
      <c r="D1652" s="25"/>
      <c r="E1652" s="14" t="s">
        <v>77</v>
      </c>
      <c r="F1652" s="13"/>
      <c r="G1652" s="96"/>
      <c r="H1652" s="41" t="s">
        <v>13</v>
      </c>
      <c r="I1652" s="34" t="s">
        <v>13</v>
      </c>
    </row>
    <row r="1653" spans="2:9" ht="13.8">
      <c r="B1653" s="367"/>
      <c r="C1653" s="571" t="s">
        <v>332</v>
      </c>
      <c r="D1653" s="572"/>
      <c r="E1653" s="573"/>
      <c r="F1653" s="7"/>
      <c r="G1653" s="161"/>
      <c r="H1653" s="33" t="s">
        <v>13</v>
      </c>
      <c r="I1653" s="10">
        <f>SUM(I1546:I1651)</f>
        <v>0</v>
      </c>
    </row>
    <row r="1654" spans="2:9" ht="26.4">
      <c r="B1654" s="205" t="s">
        <v>334</v>
      </c>
      <c r="C1654" s="558" t="s">
        <v>623</v>
      </c>
      <c r="D1654" s="559"/>
      <c r="E1654" s="560"/>
      <c r="F1654" s="560"/>
      <c r="G1654" s="560"/>
      <c r="H1654" s="560"/>
      <c r="I1654" s="561"/>
    </row>
    <row r="1655" spans="2:9" ht="24">
      <c r="B1655" s="204" t="s">
        <v>0</v>
      </c>
      <c r="C1655" s="404" t="s">
        <v>210</v>
      </c>
      <c r="D1655" s="404" t="s">
        <v>333</v>
      </c>
      <c r="E1655" s="405" t="s">
        <v>203</v>
      </c>
      <c r="F1655" s="310" t="s">
        <v>204</v>
      </c>
      <c r="G1655" s="405" t="s">
        <v>1</v>
      </c>
      <c r="H1655" s="41" t="s">
        <v>120</v>
      </c>
      <c r="I1655" s="406" t="s">
        <v>112</v>
      </c>
    </row>
    <row r="1656" spans="2:9" ht="12">
      <c r="B1656" s="369"/>
      <c r="C1656" s="128"/>
      <c r="D1656" s="196"/>
      <c r="E1656" s="87" t="s">
        <v>438</v>
      </c>
      <c r="F1656" s="13" t="s">
        <v>153</v>
      </c>
      <c r="G1656" s="37"/>
      <c r="H1656" s="41"/>
      <c r="I1656" s="34" t="s">
        <v>13</v>
      </c>
    </row>
    <row r="1657" spans="2:9" ht="13.2">
      <c r="B1657" s="367" t="s">
        <v>439</v>
      </c>
      <c r="C1657" s="375" t="s">
        <v>440</v>
      </c>
      <c r="D1657" s="374"/>
      <c r="E1657" s="438" t="s">
        <v>441</v>
      </c>
      <c r="F1657" s="439"/>
      <c r="G1657" s="378"/>
      <c r="H1657" s="413"/>
      <c r="I1657" s="380"/>
    </row>
    <row r="1658" spans="2:9" ht="22.8">
      <c r="B1658" s="368" t="s">
        <v>249</v>
      </c>
      <c r="C1658" s="66"/>
      <c r="D1658" s="66"/>
      <c r="E1658" s="67" t="s">
        <v>160</v>
      </c>
      <c r="F1658" s="62" t="s">
        <v>17</v>
      </c>
      <c r="G1658" s="68">
        <v>12</v>
      </c>
      <c r="H1658" s="277">
        <f>L1658*$K$5</f>
        <v>0</v>
      </c>
      <c r="I1658" s="278">
        <f t="shared" ref="I1658" si="151">ROUND($G1658*H1658,2)</f>
        <v>0</v>
      </c>
    </row>
    <row r="1659" spans="2:9" ht="13.2">
      <c r="B1659" s="367" t="s">
        <v>250</v>
      </c>
      <c r="C1659" s="375" t="s">
        <v>172</v>
      </c>
      <c r="D1659" s="374"/>
      <c r="E1659" s="376" t="s">
        <v>20</v>
      </c>
      <c r="F1659" s="377"/>
      <c r="G1659" s="378"/>
      <c r="H1659" s="397"/>
      <c r="I1659" s="380"/>
    </row>
    <row r="1660" spans="2:9" ht="24">
      <c r="B1660" s="367"/>
      <c r="C1660" s="71"/>
      <c r="D1660" s="72"/>
      <c r="E1660" s="73" t="s">
        <v>241</v>
      </c>
      <c r="F1660" s="30"/>
      <c r="G1660" s="40"/>
      <c r="H1660" s="44"/>
      <c r="I1660" s="36"/>
    </row>
    <row r="1661" spans="2:9" ht="12">
      <c r="B1661" s="367" t="s">
        <v>251</v>
      </c>
      <c r="C1661" s="74" t="s">
        <v>173</v>
      </c>
      <c r="D1661" s="75"/>
      <c r="E1661" s="76" t="s">
        <v>115</v>
      </c>
      <c r="F1661" s="62" t="s">
        <v>13</v>
      </c>
      <c r="G1661" s="63" t="s">
        <v>13</v>
      </c>
      <c r="H1661" s="276" t="s">
        <v>13</v>
      </c>
      <c r="I1661" s="269" t="s">
        <v>13</v>
      </c>
    </row>
    <row r="1662" spans="2:9">
      <c r="B1662" s="369"/>
      <c r="C1662" s="77"/>
      <c r="D1662" s="78"/>
      <c r="E1662" s="79" t="s">
        <v>117</v>
      </c>
      <c r="F1662" s="62" t="s">
        <v>13</v>
      </c>
      <c r="G1662" s="63" t="s">
        <v>13</v>
      </c>
      <c r="H1662" s="276" t="s">
        <v>13</v>
      </c>
      <c r="I1662" s="269" t="s">
        <v>13</v>
      </c>
    </row>
    <row r="1663" spans="2:9" ht="13.2">
      <c r="B1663" s="368" t="s">
        <v>252</v>
      </c>
      <c r="C1663" s="66"/>
      <c r="D1663" s="82"/>
      <c r="E1663" s="80" t="s">
        <v>365</v>
      </c>
      <c r="F1663" s="81" t="s">
        <v>23</v>
      </c>
      <c r="G1663" s="68">
        <v>26290</v>
      </c>
      <c r="H1663" s="277">
        <f>L1663*$K$5</f>
        <v>0</v>
      </c>
      <c r="I1663" s="278">
        <f t="shared" ref="I1663:I1666" si="152">ROUND($G1663*H1663,2)</f>
        <v>0</v>
      </c>
    </row>
    <row r="1664" spans="2:9" ht="13.2">
      <c r="B1664" s="368" t="s">
        <v>253</v>
      </c>
      <c r="C1664" s="66"/>
      <c r="D1664" s="82"/>
      <c r="E1664" s="80" t="s">
        <v>366</v>
      </c>
      <c r="F1664" s="81" t="s">
        <v>23</v>
      </c>
      <c r="G1664" s="164">
        <v>25290</v>
      </c>
      <c r="H1664" s="277">
        <f t="shared" ref="H1664:H1665" si="153">L1664*$K$5</f>
        <v>0</v>
      </c>
      <c r="I1664" s="278">
        <f t="shared" si="152"/>
        <v>0</v>
      </c>
    </row>
    <row r="1665" spans="2:9" ht="13.2">
      <c r="B1665" s="368" t="s">
        <v>254</v>
      </c>
      <c r="C1665" s="66"/>
      <c r="D1665" s="82"/>
      <c r="E1665" s="80" t="s">
        <v>163</v>
      </c>
      <c r="F1665" s="81" t="s">
        <v>23</v>
      </c>
      <c r="G1665" s="165">
        <v>315</v>
      </c>
      <c r="H1665" s="277">
        <f t="shared" si="153"/>
        <v>0</v>
      </c>
      <c r="I1665" s="278">
        <f t="shared" si="152"/>
        <v>0</v>
      </c>
    </row>
    <row r="1666" spans="2:9" ht="13.2">
      <c r="B1666" s="368" t="s">
        <v>255</v>
      </c>
      <c r="C1666" s="83"/>
      <c r="D1666" s="84"/>
      <c r="E1666" s="80" t="s">
        <v>118</v>
      </c>
      <c r="F1666" s="81" t="s">
        <v>23</v>
      </c>
      <c r="G1666" s="68">
        <v>1560</v>
      </c>
      <c r="H1666" s="277">
        <f>L1666*$K$5</f>
        <v>0</v>
      </c>
      <c r="I1666" s="278">
        <f t="shared" si="152"/>
        <v>0</v>
      </c>
    </row>
    <row r="1667" spans="2:9" ht="12">
      <c r="B1667" s="369"/>
      <c r="C1667" s="83"/>
      <c r="D1667" s="84"/>
      <c r="E1667" s="87" t="s">
        <v>26</v>
      </c>
      <c r="F1667" s="81" t="s">
        <v>153</v>
      </c>
      <c r="G1667" s="37"/>
      <c r="H1667" s="41"/>
      <c r="I1667" s="34" t="s">
        <v>13</v>
      </c>
    </row>
    <row r="1668" spans="2:9" ht="13.2">
      <c r="B1668" s="367" t="s">
        <v>256</v>
      </c>
      <c r="C1668" s="375" t="s">
        <v>174</v>
      </c>
      <c r="D1668" s="374"/>
      <c r="E1668" s="376" t="s">
        <v>27</v>
      </c>
      <c r="F1668" s="377"/>
      <c r="G1668" s="378"/>
      <c r="H1668" s="397"/>
      <c r="I1668" s="380"/>
    </row>
    <row r="1669" spans="2:9" ht="24">
      <c r="B1669" s="367"/>
      <c r="C1669" s="71"/>
      <c r="D1669" s="72"/>
      <c r="E1669" s="73" t="s">
        <v>241</v>
      </c>
      <c r="F1669" s="30"/>
      <c r="G1669" s="40"/>
      <c r="H1669" s="44"/>
      <c r="I1669" s="36"/>
    </row>
    <row r="1670" spans="2:9" ht="12">
      <c r="B1670" s="367" t="s">
        <v>257</v>
      </c>
      <c r="C1670" s="74" t="s">
        <v>175</v>
      </c>
      <c r="D1670" s="75"/>
      <c r="E1670" s="76" t="s">
        <v>29</v>
      </c>
      <c r="F1670" s="62" t="s">
        <v>13</v>
      </c>
      <c r="G1670" s="63" t="s">
        <v>13</v>
      </c>
      <c r="H1670" s="276" t="s">
        <v>13</v>
      </c>
      <c r="I1670" s="269" t="s">
        <v>13</v>
      </c>
    </row>
    <row r="1671" spans="2:9" ht="22.8">
      <c r="B1671" s="368" t="s">
        <v>258</v>
      </c>
      <c r="C1671" s="98"/>
      <c r="D1671" s="99"/>
      <c r="E1671" s="76" t="s">
        <v>367</v>
      </c>
      <c r="F1671" s="62" t="s">
        <v>17</v>
      </c>
      <c r="G1671" s="68">
        <v>154</v>
      </c>
      <c r="H1671" s="277">
        <f>L1671*$K$5</f>
        <v>0</v>
      </c>
      <c r="I1671" s="278">
        <f>ROUND($G1671*H1671,2)</f>
        <v>0</v>
      </c>
    </row>
    <row r="1672" spans="2:9" ht="13.2">
      <c r="B1672" s="367" t="s">
        <v>259</v>
      </c>
      <c r="C1672" s="66" t="s">
        <v>176</v>
      </c>
      <c r="D1672" s="66"/>
      <c r="E1672" s="90" t="s">
        <v>31</v>
      </c>
      <c r="F1672" s="81" t="s">
        <v>13</v>
      </c>
      <c r="G1672" s="228" t="s">
        <v>13</v>
      </c>
      <c r="H1672" s="277" t="s">
        <v>13</v>
      </c>
      <c r="I1672" s="269" t="s">
        <v>13</v>
      </c>
    </row>
    <row r="1673" spans="2:9" ht="13.2">
      <c r="B1673" s="368" t="s">
        <v>260</v>
      </c>
      <c r="C1673" s="66"/>
      <c r="D1673" s="66"/>
      <c r="E1673" s="67" t="s">
        <v>165</v>
      </c>
      <c r="F1673" s="62" t="s">
        <v>17</v>
      </c>
      <c r="G1673" s="68">
        <v>6</v>
      </c>
      <c r="H1673" s="277">
        <f t="shared" ref="H1673:H1682" si="154">L1673*$K$5</f>
        <v>0</v>
      </c>
      <c r="I1673" s="278">
        <f t="shared" ref="I1673:I1674" si="155">ROUND($G1673*H1673,2)</f>
        <v>0</v>
      </c>
    </row>
    <row r="1674" spans="2:9" ht="22.8">
      <c r="B1674" s="368" t="s">
        <v>369</v>
      </c>
      <c r="C1674" s="83"/>
      <c r="D1674" s="83"/>
      <c r="E1674" s="67" t="s">
        <v>370</v>
      </c>
      <c r="F1674" s="62" t="s">
        <v>17</v>
      </c>
      <c r="G1674" s="68">
        <v>1.2</v>
      </c>
      <c r="H1674" s="277">
        <f t="shared" si="154"/>
        <v>0</v>
      </c>
      <c r="I1674" s="278">
        <f t="shared" si="155"/>
        <v>0</v>
      </c>
    </row>
    <row r="1675" spans="2:9" ht="13.2">
      <c r="B1675" s="367" t="s">
        <v>261</v>
      </c>
      <c r="C1675" s="66" t="s">
        <v>177</v>
      </c>
      <c r="D1675" s="66"/>
      <c r="E1675" s="90" t="s">
        <v>129</v>
      </c>
      <c r="F1675" s="81" t="s">
        <v>13</v>
      </c>
      <c r="G1675" s="228" t="s">
        <v>13</v>
      </c>
      <c r="H1675" s="277" t="s">
        <v>13</v>
      </c>
      <c r="I1675" s="48" t="s">
        <v>13</v>
      </c>
    </row>
    <row r="1676" spans="2:9" ht="13.2">
      <c r="B1676" s="368" t="s">
        <v>262</v>
      </c>
      <c r="C1676" s="83"/>
      <c r="D1676" s="83"/>
      <c r="E1676" s="67" t="s">
        <v>371</v>
      </c>
      <c r="F1676" s="62" t="s">
        <v>17</v>
      </c>
      <c r="G1676" s="68">
        <v>150</v>
      </c>
      <c r="H1676" s="277">
        <f t="shared" si="154"/>
        <v>0</v>
      </c>
      <c r="I1676" s="278">
        <f>ROUND($G1676*H1676,2)</f>
        <v>0</v>
      </c>
    </row>
    <row r="1677" spans="2:9" ht="13.2">
      <c r="B1677" s="367" t="s">
        <v>263</v>
      </c>
      <c r="C1677" s="60" t="s">
        <v>180</v>
      </c>
      <c r="D1677" s="60"/>
      <c r="E1677" s="90" t="s">
        <v>119</v>
      </c>
      <c r="F1677" s="81" t="s">
        <v>13</v>
      </c>
      <c r="G1677" s="228" t="s">
        <v>13</v>
      </c>
      <c r="H1677" s="277" t="s">
        <v>13</v>
      </c>
      <c r="I1677" s="269" t="s">
        <v>13</v>
      </c>
    </row>
    <row r="1678" spans="2:9" ht="22.8">
      <c r="B1678" s="368" t="s">
        <v>264</v>
      </c>
      <c r="C1678" s="83"/>
      <c r="D1678" s="83"/>
      <c r="E1678" s="92" t="s">
        <v>138</v>
      </c>
      <c r="F1678" s="94" t="s">
        <v>363</v>
      </c>
      <c r="G1678" s="68">
        <v>13</v>
      </c>
      <c r="H1678" s="277">
        <f t="shared" si="154"/>
        <v>0</v>
      </c>
      <c r="I1678" s="278">
        <f>ROUND($G1678*H1678,2)</f>
        <v>0</v>
      </c>
    </row>
    <row r="1679" spans="2:9" ht="13.2">
      <c r="B1679" s="369"/>
      <c r="C1679" s="62"/>
      <c r="D1679" s="95"/>
      <c r="E1679" s="87" t="s">
        <v>39</v>
      </c>
      <c r="F1679" s="62" t="s">
        <v>153</v>
      </c>
      <c r="G1679" s="96"/>
      <c r="H1679"/>
      <c r="I1679" s="34" t="s">
        <v>13</v>
      </c>
    </row>
    <row r="1680" spans="2:9" ht="13.2">
      <c r="B1680" s="367" t="s">
        <v>265</v>
      </c>
      <c r="C1680" s="74" t="s">
        <v>181</v>
      </c>
      <c r="D1680" s="75"/>
      <c r="E1680" s="97" t="s">
        <v>139</v>
      </c>
      <c r="F1680" s="62" t="s">
        <v>13</v>
      </c>
      <c r="G1680" s="63" t="s">
        <v>13</v>
      </c>
      <c r="H1680" s="277" t="s">
        <v>13</v>
      </c>
      <c r="I1680" s="269" t="s">
        <v>13</v>
      </c>
    </row>
    <row r="1681" spans="2:9" ht="22.8">
      <c r="B1681" s="368" t="s">
        <v>266</v>
      </c>
      <c r="C1681" s="98"/>
      <c r="D1681" s="99"/>
      <c r="E1681" s="100" t="s">
        <v>140</v>
      </c>
      <c r="F1681" s="62" t="s">
        <v>17</v>
      </c>
      <c r="G1681" s="68">
        <v>15</v>
      </c>
      <c r="H1681" s="277">
        <f t="shared" si="154"/>
        <v>0</v>
      </c>
      <c r="I1681" s="278">
        <f t="shared" ref="I1681:I1682" si="156">ROUND($G1681*H1681,2)</f>
        <v>0</v>
      </c>
    </row>
    <row r="1682" spans="2:9" ht="22.8">
      <c r="B1682" s="368" t="s">
        <v>549</v>
      </c>
      <c r="C1682" s="103"/>
      <c r="D1682" s="104"/>
      <c r="E1682" s="100" t="s">
        <v>141</v>
      </c>
      <c r="F1682" s="62" t="s">
        <v>17</v>
      </c>
      <c r="G1682" s="68">
        <v>4</v>
      </c>
      <c r="H1682" s="277">
        <f t="shared" si="154"/>
        <v>0</v>
      </c>
      <c r="I1682" s="278">
        <f t="shared" si="156"/>
        <v>0</v>
      </c>
    </row>
    <row r="1683" spans="2:9" ht="12">
      <c r="B1683" s="369"/>
      <c r="C1683" s="103"/>
      <c r="D1683" s="104"/>
      <c r="E1683" s="87" t="s">
        <v>43</v>
      </c>
      <c r="F1683" s="62" t="s">
        <v>153</v>
      </c>
      <c r="G1683" s="39"/>
      <c r="H1683" s="41"/>
      <c r="I1683" s="34" t="s">
        <v>13</v>
      </c>
    </row>
    <row r="1684" spans="2:9" ht="13.2">
      <c r="B1684" s="367" t="s">
        <v>272</v>
      </c>
      <c r="C1684" s="375" t="s">
        <v>200</v>
      </c>
      <c r="D1684" s="374"/>
      <c r="E1684" s="376" t="s">
        <v>44</v>
      </c>
      <c r="F1684" s="377"/>
      <c r="G1684" s="431"/>
      <c r="H1684" s="397"/>
      <c r="I1684" s="380"/>
    </row>
    <row r="1685" spans="2:9" ht="22.8">
      <c r="B1685" s="368" t="s">
        <v>374</v>
      </c>
      <c r="C1685" s="106"/>
      <c r="D1685" s="106"/>
      <c r="E1685" s="279" t="s">
        <v>617</v>
      </c>
      <c r="F1685" s="62" t="s">
        <v>4</v>
      </c>
      <c r="G1685" s="68">
        <v>0.6</v>
      </c>
      <c r="H1685" s="277">
        <f>L1685*$K$5</f>
        <v>0</v>
      </c>
      <c r="I1685" s="278">
        <f>ROUND($G1685*H1685,2)</f>
        <v>0</v>
      </c>
    </row>
    <row r="1686" spans="2:9" ht="22.8">
      <c r="B1686" s="368" t="s">
        <v>519</v>
      </c>
      <c r="C1686" s="74" t="s">
        <v>355</v>
      </c>
      <c r="D1686" s="74"/>
      <c r="E1686" s="110" t="s">
        <v>357</v>
      </c>
      <c r="F1686" s="170" t="s">
        <v>13</v>
      </c>
      <c r="G1686" s="107" t="s">
        <v>13</v>
      </c>
      <c r="H1686" s="277" t="s">
        <v>13</v>
      </c>
      <c r="I1686" s="48" t="s">
        <v>13</v>
      </c>
    </row>
    <row r="1687" spans="2:9" ht="22.8">
      <c r="B1687" s="368" t="s">
        <v>351</v>
      </c>
      <c r="C1687" s="101"/>
      <c r="D1687" s="101"/>
      <c r="E1687" s="90" t="s">
        <v>154</v>
      </c>
      <c r="F1687" s="109" t="s">
        <v>15</v>
      </c>
      <c r="G1687" s="68">
        <v>65</v>
      </c>
      <c r="H1687" s="277">
        <f t="shared" ref="H1687" si="157">L1687*$K$5</f>
        <v>0</v>
      </c>
      <c r="I1687" s="278">
        <f>ROUND($G1687*H1687,2)</f>
        <v>0</v>
      </c>
    </row>
    <row r="1688" spans="2:9" ht="13.2">
      <c r="B1688" s="367" t="s">
        <v>275</v>
      </c>
      <c r="C1688" s="375" t="s">
        <v>201</v>
      </c>
      <c r="D1688" s="374"/>
      <c r="E1688" s="407" t="s">
        <v>380</v>
      </c>
      <c r="F1688" s="377"/>
      <c r="G1688" s="378"/>
      <c r="H1688" s="397"/>
      <c r="I1688" s="380"/>
    </row>
    <row r="1689" spans="2:9" ht="24">
      <c r="B1689" s="367"/>
      <c r="C1689" s="71"/>
      <c r="D1689" s="72"/>
      <c r="E1689" s="73" t="s">
        <v>241</v>
      </c>
      <c r="F1689" s="30"/>
      <c r="G1689" s="43"/>
      <c r="H1689" s="44"/>
      <c r="I1689" s="36"/>
    </row>
    <row r="1690" spans="2:9" ht="12">
      <c r="B1690" s="367" t="s">
        <v>276</v>
      </c>
      <c r="C1690" s="60" t="s">
        <v>182</v>
      </c>
      <c r="D1690" s="60"/>
      <c r="E1690" s="90" t="s">
        <v>49</v>
      </c>
      <c r="F1690" s="62" t="s">
        <v>13</v>
      </c>
      <c r="G1690" s="63" t="s">
        <v>13</v>
      </c>
      <c r="H1690" s="276" t="s">
        <v>13</v>
      </c>
      <c r="I1690" s="269" t="s">
        <v>13</v>
      </c>
    </row>
    <row r="1691" spans="2:9" ht="34.200000000000003">
      <c r="B1691" s="368" t="s">
        <v>277</v>
      </c>
      <c r="C1691" s="66"/>
      <c r="D1691" s="66"/>
      <c r="E1691" s="110" t="s">
        <v>207</v>
      </c>
      <c r="F1691" s="62" t="s">
        <v>15</v>
      </c>
      <c r="G1691" s="68">
        <v>1225</v>
      </c>
      <c r="H1691" s="277">
        <f>L1691*$K$5</f>
        <v>0</v>
      </c>
      <c r="I1691" s="278">
        <f t="shared" ref="I1691:I1692" si="158">ROUND($G1691*H1691,2)</f>
        <v>0</v>
      </c>
    </row>
    <row r="1692" spans="2:9" ht="45.6">
      <c r="B1692" s="368" t="s">
        <v>278</v>
      </c>
      <c r="C1692" s="83"/>
      <c r="D1692" s="83"/>
      <c r="E1692" s="92" t="s">
        <v>149</v>
      </c>
      <c r="F1692" s="62" t="s">
        <v>15</v>
      </c>
      <c r="G1692" s="68">
        <v>10</v>
      </c>
      <c r="H1692" s="277">
        <f t="shared" ref="H1692:H1700" si="159">L1692*$K$5</f>
        <v>0</v>
      </c>
      <c r="I1692" s="278">
        <f t="shared" si="158"/>
        <v>0</v>
      </c>
    </row>
    <row r="1693" spans="2:9" ht="13.2">
      <c r="B1693" s="367" t="s">
        <v>279</v>
      </c>
      <c r="C1693" s="74" t="s">
        <v>168</v>
      </c>
      <c r="D1693" s="74"/>
      <c r="E1693" s="90" t="s">
        <v>155</v>
      </c>
      <c r="F1693" s="81" t="s">
        <v>13</v>
      </c>
      <c r="G1693" s="228" t="s">
        <v>13</v>
      </c>
      <c r="H1693" s="277" t="s">
        <v>13</v>
      </c>
      <c r="I1693" s="269" t="s">
        <v>13</v>
      </c>
    </row>
    <row r="1694" spans="2:9" ht="22.8">
      <c r="B1694" s="368" t="s">
        <v>280</v>
      </c>
      <c r="C1694" s="103"/>
      <c r="D1694" s="103"/>
      <c r="E1694" s="110" t="s">
        <v>502</v>
      </c>
      <c r="F1694" s="62" t="s">
        <v>15</v>
      </c>
      <c r="G1694" s="68">
        <v>115</v>
      </c>
      <c r="H1694" s="277">
        <f t="shared" si="159"/>
        <v>0</v>
      </c>
      <c r="I1694" s="278">
        <f>ROUND($G1694*H1694,2)</f>
        <v>0</v>
      </c>
    </row>
    <row r="1695" spans="2:9" ht="13.2">
      <c r="B1695" s="367" t="s">
        <v>282</v>
      </c>
      <c r="C1695" s="74" t="s">
        <v>183</v>
      </c>
      <c r="D1695" s="74"/>
      <c r="E1695" s="90" t="s">
        <v>54</v>
      </c>
      <c r="F1695" s="81" t="s">
        <v>13</v>
      </c>
      <c r="G1695" s="228" t="s">
        <v>13</v>
      </c>
      <c r="H1695" s="277" t="s">
        <v>13</v>
      </c>
      <c r="I1695" s="269" t="s">
        <v>13</v>
      </c>
    </row>
    <row r="1696" spans="2:9" ht="22.8">
      <c r="B1696" s="368" t="s">
        <v>283</v>
      </c>
      <c r="C1696" s="98"/>
      <c r="D1696" s="98"/>
      <c r="E1696" s="92" t="s">
        <v>156</v>
      </c>
      <c r="F1696" s="62" t="s">
        <v>15</v>
      </c>
      <c r="G1696" s="68">
        <v>65</v>
      </c>
      <c r="H1696" s="277">
        <f t="shared" si="159"/>
        <v>0</v>
      </c>
      <c r="I1696" s="278">
        <f>ROUND($G1696*H1696,2)</f>
        <v>0</v>
      </c>
    </row>
    <row r="1697" spans="2:9" ht="13.2">
      <c r="B1697" s="367" t="s">
        <v>284</v>
      </c>
      <c r="C1697" s="74" t="s">
        <v>184</v>
      </c>
      <c r="D1697" s="74"/>
      <c r="E1697" s="90" t="s">
        <v>121</v>
      </c>
      <c r="F1697" s="81" t="s">
        <v>13</v>
      </c>
      <c r="G1697" s="228" t="s">
        <v>13</v>
      </c>
      <c r="H1697" s="277" t="s">
        <v>13</v>
      </c>
      <c r="I1697" s="48" t="s">
        <v>13</v>
      </c>
    </row>
    <row r="1698" spans="2:9" ht="22.8">
      <c r="B1698" s="368" t="s">
        <v>285</v>
      </c>
      <c r="C1698" s="98"/>
      <c r="D1698" s="98"/>
      <c r="E1698" s="111" t="s">
        <v>122</v>
      </c>
      <c r="F1698" s="83" t="s">
        <v>15</v>
      </c>
      <c r="G1698" s="68">
        <v>205</v>
      </c>
      <c r="H1698" s="277">
        <f t="shared" si="159"/>
        <v>0</v>
      </c>
      <c r="I1698" s="278">
        <f>ROUND($G1698*H1698,2)</f>
        <v>0</v>
      </c>
    </row>
    <row r="1699" spans="2:9" ht="13.2">
      <c r="B1699" s="367" t="s">
        <v>286</v>
      </c>
      <c r="C1699" s="74" t="s">
        <v>185</v>
      </c>
      <c r="D1699" s="74"/>
      <c r="E1699" s="90" t="s">
        <v>151</v>
      </c>
      <c r="F1699" s="81" t="s">
        <v>13</v>
      </c>
      <c r="G1699" s="228" t="s">
        <v>13</v>
      </c>
      <c r="H1699" s="277" t="s">
        <v>13</v>
      </c>
      <c r="I1699" s="269" t="s">
        <v>13</v>
      </c>
    </row>
    <row r="1700" spans="2:9" ht="22.8">
      <c r="B1700" s="368" t="s">
        <v>287</v>
      </c>
      <c r="C1700" s="98"/>
      <c r="D1700" s="98"/>
      <c r="E1700" s="90" t="s">
        <v>152</v>
      </c>
      <c r="F1700" s="83" t="s">
        <v>15</v>
      </c>
      <c r="G1700" s="68">
        <v>80</v>
      </c>
      <c r="H1700" s="277">
        <f t="shared" si="159"/>
        <v>0</v>
      </c>
      <c r="I1700" s="278">
        <f>ROUND($G1700*H1700,2)</f>
        <v>0</v>
      </c>
    </row>
    <row r="1701" spans="2:9" ht="12">
      <c r="B1701" s="369"/>
      <c r="C1701" s="12"/>
      <c r="D1701" s="25"/>
      <c r="E1701" s="87" t="s">
        <v>58</v>
      </c>
      <c r="F1701" s="13" t="s">
        <v>153</v>
      </c>
      <c r="G1701" s="96"/>
      <c r="H1701" s="41"/>
      <c r="I1701" s="34" t="s">
        <v>13</v>
      </c>
    </row>
    <row r="1702" spans="2:9" ht="13.2">
      <c r="B1702" s="367" t="s">
        <v>288</v>
      </c>
      <c r="C1702" s="385" t="s">
        <v>186</v>
      </c>
      <c r="D1702" s="386"/>
      <c r="E1702" s="387" t="s">
        <v>81</v>
      </c>
      <c r="F1702" s="388"/>
      <c r="G1702" s="378"/>
      <c r="H1702" s="437"/>
      <c r="I1702" s="380"/>
    </row>
    <row r="1703" spans="2:9" ht="24">
      <c r="B1703" s="367"/>
      <c r="C1703" s="71"/>
      <c r="D1703" s="72"/>
      <c r="E1703" s="73" t="s">
        <v>241</v>
      </c>
      <c r="F1703" s="30"/>
      <c r="G1703" s="231"/>
      <c r="H1703" s="44"/>
      <c r="I1703" s="271"/>
    </row>
    <row r="1704" spans="2:9" ht="12">
      <c r="B1704" s="367" t="s">
        <v>289</v>
      </c>
      <c r="C1704" s="74" t="s">
        <v>381</v>
      </c>
      <c r="D1704" s="91"/>
      <c r="E1704" s="172" t="s">
        <v>382</v>
      </c>
      <c r="F1704" s="62" t="s">
        <v>13</v>
      </c>
      <c r="G1704" s="233" t="s">
        <v>13</v>
      </c>
      <c r="H1704" s="276"/>
      <c r="I1704" s="269" t="s">
        <v>13</v>
      </c>
    </row>
    <row r="1705" spans="2:9" ht="22.8">
      <c r="B1705" s="368" t="s">
        <v>290</v>
      </c>
      <c r="C1705" s="173"/>
      <c r="D1705" s="173"/>
      <c r="E1705" s="67" t="s">
        <v>383</v>
      </c>
      <c r="F1705" s="62" t="s">
        <v>3</v>
      </c>
      <c r="G1705" s="68">
        <v>5</v>
      </c>
      <c r="H1705" s="277">
        <f>L1705*$K$5</f>
        <v>0</v>
      </c>
      <c r="I1705" s="278">
        <f>ROUND($G1705*H1705,2)</f>
        <v>0</v>
      </c>
    </row>
    <row r="1706" spans="2:9" ht="13.2">
      <c r="B1706" s="367" t="s">
        <v>384</v>
      </c>
      <c r="C1706" s="74" t="s">
        <v>187</v>
      </c>
      <c r="D1706" s="74"/>
      <c r="E1706" s="61" t="s">
        <v>360</v>
      </c>
      <c r="F1706" s="62" t="s">
        <v>13</v>
      </c>
      <c r="G1706" s="233" t="s">
        <v>13</v>
      </c>
      <c r="H1706" s="277" t="s">
        <v>13</v>
      </c>
      <c r="I1706" s="269" t="s">
        <v>13</v>
      </c>
    </row>
    <row r="1707" spans="2:9" ht="22.8">
      <c r="B1707" s="368" t="s">
        <v>385</v>
      </c>
      <c r="C1707" s="115"/>
      <c r="D1707" s="115"/>
      <c r="E1707" s="67" t="s">
        <v>386</v>
      </c>
      <c r="F1707" s="62" t="s">
        <v>4</v>
      </c>
      <c r="G1707" s="68">
        <v>15</v>
      </c>
      <c r="H1707" s="277">
        <f t="shared" ref="H1707:H1709" si="160">L1707*$K$5</f>
        <v>0</v>
      </c>
      <c r="I1707" s="278">
        <f>ROUND($G1707*H1707,2)</f>
        <v>0</v>
      </c>
    </row>
    <row r="1708" spans="2:9" ht="22.8">
      <c r="B1708" s="368" t="s">
        <v>387</v>
      </c>
      <c r="C1708" s="115"/>
      <c r="D1708" s="115"/>
      <c r="E1708" s="67" t="s">
        <v>388</v>
      </c>
      <c r="F1708" s="62" t="s">
        <v>4</v>
      </c>
      <c r="G1708" s="68">
        <v>22</v>
      </c>
      <c r="H1708" s="277">
        <f t="shared" si="160"/>
        <v>0</v>
      </c>
      <c r="I1708" s="278">
        <f>ROUND($G1708*H1708,2)</f>
        <v>0</v>
      </c>
    </row>
    <row r="1709" spans="2:9" ht="22.8">
      <c r="B1709" s="368" t="s">
        <v>389</v>
      </c>
      <c r="C1709" s="115"/>
      <c r="D1709" s="115"/>
      <c r="E1709" s="116" t="s">
        <v>157</v>
      </c>
      <c r="F1709" s="62" t="s">
        <v>3</v>
      </c>
      <c r="G1709" s="117">
        <v>2</v>
      </c>
      <c r="H1709" s="277">
        <f t="shared" si="160"/>
        <v>0</v>
      </c>
      <c r="I1709" s="278">
        <f>ROUND($G1709*H1709,2)</f>
        <v>0</v>
      </c>
    </row>
    <row r="1710" spans="2:9" ht="12">
      <c r="B1710" s="369"/>
      <c r="C1710" s="73"/>
      <c r="D1710" s="118"/>
      <c r="E1710" s="112" t="s">
        <v>85</v>
      </c>
      <c r="F1710" s="13" t="s">
        <v>153</v>
      </c>
      <c r="G1710" s="119"/>
      <c r="H1710" s="41"/>
      <c r="I1710" s="34" t="s">
        <v>13</v>
      </c>
    </row>
    <row r="1711" spans="2:9" ht="13.2">
      <c r="B1711" s="367" t="s">
        <v>390</v>
      </c>
      <c r="C1711" s="385" t="s">
        <v>391</v>
      </c>
      <c r="D1711" s="386"/>
      <c r="E1711" s="387" t="s">
        <v>392</v>
      </c>
      <c r="F1711" s="388"/>
      <c r="G1711" s="431"/>
      <c r="H1711" s="437"/>
      <c r="I1711" s="380"/>
    </row>
    <row r="1712" spans="2:9" ht="24">
      <c r="B1712" s="367"/>
      <c r="C1712" s="71"/>
      <c r="D1712" s="72"/>
      <c r="E1712" s="73" t="s">
        <v>241</v>
      </c>
      <c r="F1712" s="30"/>
      <c r="G1712" s="43"/>
      <c r="H1712" s="44"/>
      <c r="I1712" s="36"/>
    </row>
    <row r="1713" spans="2:9">
      <c r="B1713" s="368" t="s">
        <v>393</v>
      </c>
      <c r="C1713" s="74" t="s">
        <v>394</v>
      </c>
      <c r="D1713" s="75"/>
      <c r="E1713" s="122" t="s">
        <v>395</v>
      </c>
      <c r="F1713" s="62" t="s">
        <v>13</v>
      </c>
      <c r="G1713" s="63" t="s">
        <v>13</v>
      </c>
      <c r="H1713" s="276" t="s">
        <v>13</v>
      </c>
      <c r="I1713" s="48" t="s">
        <v>13</v>
      </c>
    </row>
    <row r="1714" spans="2:9">
      <c r="B1714" s="368" t="s">
        <v>396</v>
      </c>
      <c r="C1714" s="98"/>
      <c r="D1714" s="99"/>
      <c r="E1714" s="122" t="s">
        <v>397</v>
      </c>
      <c r="F1714" s="62" t="s">
        <v>13</v>
      </c>
      <c r="G1714" s="63" t="s">
        <v>13</v>
      </c>
      <c r="H1714" s="281" t="s">
        <v>13</v>
      </c>
      <c r="I1714" s="48" t="s">
        <v>13</v>
      </c>
    </row>
    <row r="1715" spans="2:9" ht="13.2">
      <c r="B1715" s="368" t="s">
        <v>398</v>
      </c>
      <c r="C1715" s="103"/>
      <c r="D1715" s="104"/>
      <c r="E1715" s="80" t="s">
        <v>619</v>
      </c>
      <c r="F1715" s="62" t="s">
        <v>3</v>
      </c>
      <c r="G1715" s="68">
        <v>1</v>
      </c>
      <c r="H1715" s="277">
        <f>L1715*$K$5</f>
        <v>0</v>
      </c>
      <c r="I1715" s="278">
        <f t="shared" ref="I1715:I1717" si="161">ROUND($G1715*H1715,2)</f>
        <v>0</v>
      </c>
    </row>
    <row r="1716" spans="2:9" ht="13.2">
      <c r="B1716" s="368" t="s">
        <v>400</v>
      </c>
      <c r="C1716" s="103"/>
      <c r="D1716" s="104"/>
      <c r="E1716" s="80" t="s">
        <v>620</v>
      </c>
      <c r="F1716" s="62" t="s">
        <v>3</v>
      </c>
      <c r="G1716" s="68">
        <v>1</v>
      </c>
      <c r="H1716" s="277">
        <f t="shared" ref="H1716:H1717" si="162">L1716*$K$5</f>
        <v>0</v>
      </c>
      <c r="I1716" s="278">
        <f t="shared" si="161"/>
        <v>0</v>
      </c>
    </row>
    <row r="1717" spans="2:9" ht="13.2">
      <c r="B1717" s="368" t="s">
        <v>402</v>
      </c>
      <c r="C1717" s="101"/>
      <c r="D1717" s="102"/>
      <c r="E1717" s="80" t="s">
        <v>621</v>
      </c>
      <c r="F1717" s="62" t="s">
        <v>3</v>
      </c>
      <c r="G1717" s="68">
        <v>2</v>
      </c>
      <c r="H1717" s="277">
        <f t="shared" si="162"/>
        <v>0</v>
      </c>
      <c r="I1717" s="278">
        <f t="shared" si="161"/>
        <v>0</v>
      </c>
    </row>
    <row r="1718" spans="2:9" ht="12">
      <c r="B1718" s="369"/>
      <c r="C1718" s="12"/>
      <c r="D1718" s="25"/>
      <c r="E1718" s="87" t="s">
        <v>404</v>
      </c>
      <c r="F1718" s="13" t="s">
        <v>153</v>
      </c>
      <c r="G1718" s="119"/>
      <c r="H1718" s="41"/>
      <c r="I1718" s="34" t="s">
        <v>13</v>
      </c>
    </row>
    <row r="1719" spans="2:9" ht="13.2">
      <c r="B1719" s="367" t="s">
        <v>292</v>
      </c>
      <c r="C1719" s="375" t="s">
        <v>188</v>
      </c>
      <c r="D1719" s="374"/>
      <c r="E1719" s="376" t="s">
        <v>59</v>
      </c>
      <c r="F1719" s="377"/>
      <c r="G1719" s="378"/>
      <c r="H1719" s="397"/>
      <c r="I1719" s="380"/>
    </row>
    <row r="1720" spans="2:9" ht="24">
      <c r="B1720" s="367"/>
      <c r="C1720" s="71"/>
      <c r="D1720" s="72"/>
      <c r="E1720" s="73" t="s">
        <v>241</v>
      </c>
      <c r="F1720" s="30"/>
      <c r="G1720" s="43"/>
      <c r="H1720" s="44"/>
      <c r="I1720" s="36"/>
    </row>
    <row r="1721" spans="2:9" ht="12">
      <c r="B1721" s="367" t="s">
        <v>293</v>
      </c>
      <c r="C1721" s="120" t="s">
        <v>405</v>
      </c>
      <c r="D1721" s="121"/>
      <c r="E1721" s="122" t="s">
        <v>406</v>
      </c>
      <c r="F1721" s="62" t="s">
        <v>13</v>
      </c>
      <c r="G1721" s="63" t="s">
        <v>13</v>
      </c>
      <c r="H1721" s="276" t="s">
        <v>13</v>
      </c>
      <c r="I1721" s="269" t="s">
        <v>13</v>
      </c>
    </row>
    <row r="1722" spans="2:9" ht="57">
      <c r="B1722" s="368" t="s">
        <v>294</v>
      </c>
      <c r="C1722" s="123"/>
      <c r="D1722" s="124"/>
      <c r="E1722" s="80" t="s">
        <v>407</v>
      </c>
      <c r="F1722" s="81" t="s">
        <v>4</v>
      </c>
      <c r="G1722" s="68">
        <v>11.2</v>
      </c>
      <c r="H1722" s="277">
        <f>L1722*$K$5</f>
        <v>0</v>
      </c>
      <c r="I1722" s="278">
        <f t="shared" ref="I1722:I1723" si="163">ROUND($G1722*H1722,2)</f>
        <v>0</v>
      </c>
    </row>
    <row r="1723" spans="2:9" ht="34.200000000000003">
      <c r="B1723" s="368" t="s">
        <v>622</v>
      </c>
      <c r="C1723" s="125"/>
      <c r="D1723" s="126"/>
      <c r="E1723" s="127" t="s">
        <v>144</v>
      </c>
      <c r="F1723" s="128" t="s">
        <v>4</v>
      </c>
      <c r="G1723" s="68">
        <v>9.5</v>
      </c>
      <c r="H1723" s="277">
        <f>L1723*$K$5</f>
        <v>0</v>
      </c>
      <c r="I1723" s="278">
        <f t="shared" si="163"/>
        <v>0</v>
      </c>
    </row>
    <row r="1724" spans="2:9" ht="12">
      <c r="B1724" s="369"/>
      <c r="C1724" s="129"/>
      <c r="D1724" s="130"/>
      <c r="E1724" s="87" t="s">
        <v>61</v>
      </c>
      <c r="F1724" s="13" t="s">
        <v>153</v>
      </c>
      <c r="G1724" s="119"/>
      <c r="H1724" s="41"/>
      <c r="I1724" s="34" t="s">
        <v>13</v>
      </c>
    </row>
    <row r="1725" spans="2:9" ht="13.2">
      <c r="B1725" s="367" t="s">
        <v>297</v>
      </c>
      <c r="C1725" s="375" t="s">
        <v>190</v>
      </c>
      <c r="D1725" s="374"/>
      <c r="E1725" s="376" t="s">
        <v>62</v>
      </c>
      <c r="F1725" s="377"/>
      <c r="G1725" s="378"/>
      <c r="H1725" s="397"/>
      <c r="I1725" s="380"/>
    </row>
    <row r="1726" spans="2:9" ht="24">
      <c r="B1726" s="367"/>
      <c r="C1726" s="71"/>
      <c r="D1726" s="72"/>
      <c r="E1726" s="73" t="s">
        <v>241</v>
      </c>
      <c r="F1726" s="30"/>
      <c r="G1726" s="40"/>
      <c r="H1726" s="44"/>
      <c r="I1726" s="36"/>
    </row>
    <row r="1727" spans="2:9" ht="12">
      <c r="B1727" s="367" t="s">
        <v>298</v>
      </c>
      <c r="C1727" s="60" t="s">
        <v>191</v>
      </c>
      <c r="D1727" s="60"/>
      <c r="E1727" s="90" t="s">
        <v>244</v>
      </c>
      <c r="F1727" s="62" t="s">
        <v>13</v>
      </c>
      <c r="G1727" s="63" t="s">
        <v>13</v>
      </c>
      <c r="H1727" s="276" t="s">
        <v>13</v>
      </c>
      <c r="I1727" s="269" t="s">
        <v>13</v>
      </c>
    </row>
    <row r="1728" spans="2:9" ht="22.8">
      <c r="B1728" s="368" t="s">
        <v>299</v>
      </c>
      <c r="C1728" s="66"/>
      <c r="D1728" s="66"/>
      <c r="E1728" s="133" t="s">
        <v>245</v>
      </c>
      <c r="F1728" s="132" t="s">
        <v>23</v>
      </c>
      <c r="G1728" s="68">
        <v>1250</v>
      </c>
      <c r="H1728" s="277">
        <f>L1728*$K$5</f>
        <v>0</v>
      </c>
      <c r="I1728" s="278">
        <f t="shared" ref="I1728:I1729" si="164">ROUND($G1728*H1728,2)</f>
        <v>0</v>
      </c>
    </row>
    <row r="1729" spans="2:9" ht="22.8">
      <c r="B1729" s="368" t="s">
        <v>300</v>
      </c>
      <c r="C1729" s="66"/>
      <c r="D1729" s="66"/>
      <c r="E1729" s="133" t="s">
        <v>246</v>
      </c>
      <c r="F1729" s="132" t="s">
        <v>23</v>
      </c>
      <c r="G1729" s="68">
        <v>310</v>
      </c>
      <c r="H1729" s="277">
        <f>L1729*$K$5</f>
        <v>0</v>
      </c>
      <c r="I1729" s="278">
        <f t="shared" si="164"/>
        <v>0</v>
      </c>
    </row>
    <row r="1730" spans="2:9" ht="12">
      <c r="B1730" s="369"/>
      <c r="C1730" s="12"/>
      <c r="D1730" s="25"/>
      <c r="E1730" s="87" t="s">
        <v>63</v>
      </c>
      <c r="F1730" s="13"/>
      <c r="G1730" s="134"/>
      <c r="H1730" s="41"/>
      <c r="I1730" s="34" t="s">
        <v>13</v>
      </c>
    </row>
    <row r="1731" spans="2:9" ht="13.2">
      <c r="B1731" s="367" t="s">
        <v>301</v>
      </c>
      <c r="C1731" s="375" t="s">
        <v>192</v>
      </c>
      <c r="D1731" s="374"/>
      <c r="E1731" s="376" t="s">
        <v>64</v>
      </c>
      <c r="F1731" s="377"/>
      <c r="G1731" s="378"/>
      <c r="H1731" s="397"/>
      <c r="I1731" s="380"/>
    </row>
    <row r="1732" spans="2:9" ht="24">
      <c r="B1732" s="367"/>
      <c r="C1732" s="71"/>
      <c r="D1732" s="72"/>
      <c r="E1732" s="73" t="s">
        <v>241</v>
      </c>
      <c r="F1732" s="30"/>
      <c r="G1732" s="40"/>
      <c r="H1732" s="36"/>
      <c r="I1732" s="36"/>
    </row>
    <row r="1733" spans="2:9" ht="12">
      <c r="B1733" s="367" t="s">
        <v>302</v>
      </c>
      <c r="C1733" s="60" t="s">
        <v>193</v>
      </c>
      <c r="D1733" s="60"/>
      <c r="E1733" s="135" t="s">
        <v>66</v>
      </c>
      <c r="F1733" s="136" t="s">
        <v>13</v>
      </c>
      <c r="G1733" s="140" t="s">
        <v>13</v>
      </c>
      <c r="H1733" s="280" t="s">
        <v>13</v>
      </c>
      <c r="I1733" s="269" t="s">
        <v>13</v>
      </c>
    </row>
    <row r="1734" spans="2:9" ht="22.8">
      <c r="B1734" s="368" t="s">
        <v>303</v>
      </c>
      <c r="C1734" s="83"/>
      <c r="D1734" s="83"/>
      <c r="E1734" s="116" t="s">
        <v>158</v>
      </c>
      <c r="F1734" s="137" t="s">
        <v>16</v>
      </c>
      <c r="G1734" s="68">
        <v>148</v>
      </c>
      <c r="H1734" s="277">
        <f>L1734*$K$5</f>
        <v>0</v>
      </c>
      <c r="I1734" s="278">
        <f>ROUND($G1734*H1734,2)</f>
        <v>0</v>
      </c>
    </row>
    <row r="1735" spans="2:9" ht="13.2">
      <c r="B1735" s="367" t="s">
        <v>304</v>
      </c>
      <c r="C1735" s="74" t="s">
        <v>194</v>
      </c>
      <c r="D1735" s="74"/>
      <c r="E1735" s="135" t="s">
        <v>68</v>
      </c>
      <c r="F1735" s="136" t="s">
        <v>13</v>
      </c>
      <c r="G1735" s="140" t="s">
        <v>13</v>
      </c>
      <c r="H1735" s="277" t="s">
        <v>13</v>
      </c>
      <c r="I1735" s="269" t="s">
        <v>13</v>
      </c>
    </row>
    <row r="1736" spans="2:9" ht="34.799999999999997">
      <c r="B1736" s="368" t="s">
        <v>305</v>
      </c>
      <c r="C1736" s="98"/>
      <c r="D1736" s="98"/>
      <c r="E1736" s="116" t="s">
        <v>554</v>
      </c>
      <c r="F1736" s="136" t="s">
        <v>4</v>
      </c>
      <c r="G1736" s="68">
        <v>13</v>
      </c>
      <c r="H1736" s="277">
        <f t="shared" ref="H1736:H1759" si="165">L1736*$K$5</f>
        <v>0</v>
      </c>
      <c r="I1736" s="278">
        <f>ROUND($G1736*H1736,2)</f>
        <v>0</v>
      </c>
    </row>
    <row r="1737" spans="2:9" ht="13.2">
      <c r="B1737" s="368" t="s">
        <v>306</v>
      </c>
      <c r="C1737" s="101"/>
      <c r="D1737" s="103"/>
      <c r="E1737" s="138" t="s">
        <v>133</v>
      </c>
      <c r="F1737" s="136" t="s">
        <v>3</v>
      </c>
      <c r="G1737" s="117">
        <v>2</v>
      </c>
      <c r="H1737" s="277">
        <f t="shared" si="165"/>
        <v>0</v>
      </c>
      <c r="I1737" s="278">
        <f>ROUND($G1737*H1737,2)</f>
        <v>0</v>
      </c>
    </row>
    <row r="1738" spans="2:9" ht="13.2">
      <c r="B1738" s="367" t="s">
        <v>307</v>
      </c>
      <c r="C1738" s="74" t="s">
        <v>169</v>
      </c>
      <c r="D1738" s="75"/>
      <c r="E1738" s="122" t="s">
        <v>69</v>
      </c>
      <c r="F1738" s="62" t="s">
        <v>13</v>
      </c>
      <c r="G1738" s="63" t="s">
        <v>13</v>
      </c>
      <c r="H1738" s="277" t="s">
        <v>13</v>
      </c>
      <c r="I1738" s="269" t="s">
        <v>13</v>
      </c>
    </row>
    <row r="1739" spans="2:9" ht="34.200000000000003">
      <c r="B1739" s="368" t="s">
        <v>308</v>
      </c>
      <c r="C1739" s="98"/>
      <c r="D1739" s="99"/>
      <c r="E1739" s="80" t="s">
        <v>161</v>
      </c>
      <c r="F1739" s="81" t="s">
        <v>16</v>
      </c>
      <c r="G1739" s="68">
        <v>90</v>
      </c>
      <c r="H1739" s="277">
        <f t="shared" si="165"/>
        <v>0</v>
      </c>
      <c r="I1739" s="278">
        <f t="shared" ref="I1739:I1741" si="166">ROUND($G1739*H1739,2)</f>
        <v>0</v>
      </c>
    </row>
    <row r="1740" spans="2:9" ht="22.8">
      <c r="B1740" s="368" t="s">
        <v>309</v>
      </c>
      <c r="C1740" s="98"/>
      <c r="D1740" s="99"/>
      <c r="E1740" s="80" t="s">
        <v>70</v>
      </c>
      <c r="F1740" s="62" t="s">
        <v>4</v>
      </c>
      <c r="G1740" s="68">
        <v>24</v>
      </c>
      <c r="H1740" s="277">
        <f t="shared" si="165"/>
        <v>0</v>
      </c>
      <c r="I1740" s="278">
        <f t="shared" si="166"/>
        <v>0</v>
      </c>
    </row>
    <row r="1741" spans="2:9" ht="22.8">
      <c r="B1741" s="368" t="s">
        <v>310</v>
      </c>
      <c r="C1741" s="98"/>
      <c r="D1741" s="98"/>
      <c r="E1741" s="139" t="s">
        <v>142</v>
      </c>
      <c r="F1741" s="62" t="s">
        <v>4</v>
      </c>
      <c r="G1741" s="68">
        <v>25</v>
      </c>
      <c r="H1741" s="277">
        <f t="shared" si="165"/>
        <v>0</v>
      </c>
      <c r="I1741" s="278">
        <f t="shared" si="166"/>
        <v>0</v>
      </c>
    </row>
    <row r="1742" spans="2:9" ht="13.2">
      <c r="B1742" s="367" t="s">
        <v>311</v>
      </c>
      <c r="C1742" s="60" t="s">
        <v>195</v>
      </c>
      <c r="D1742" s="60"/>
      <c r="E1742" s="90" t="s">
        <v>71</v>
      </c>
      <c r="F1742" s="140" t="s">
        <v>13</v>
      </c>
      <c r="G1742" s="140" t="s">
        <v>13</v>
      </c>
      <c r="H1742" s="277" t="s">
        <v>13</v>
      </c>
      <c r="I1742" s="269" t="s">
        <v>13</v>
      </c>
    </row>
    <row r="1743" spans="2:9" ht="57">
      <c r="B1743" s="368" t="s">
        <v>312</v>
      </c>
      <c r="C1743" s="66"/>
      <c r="D1743" s="66"/>
      <c r="E1743" s="141" t="s">
        <v>127</v>
      </c>
      <c r="F1743" s="137" t="s">
        <v>16</v>
      </c>
      <c r="G1743" s="68">
        <v>380</v>
      </c>
      <c r="H1743" s="277">
        <f t="shared" si="165"/>
        <v>0</v>
      </c>
      <c r="I1743" s="278">
        <f t="shared" ref="I1743:I1744" si="167">ROUND($G1743*H1743,2)</f>
        <v>0</v>
      </c>
    </row>
    <row r="1744" spans="2:9" ht="45.6">
      <c r="B1744" s="368" t="s">
        <v>313</v>
      </c>
      <c r="C1744" s="83"/>
      <c r="D1744" s="83"/>
      <c r="E1744" s="67" t="s">
        <v>125</v>
      </c>
      <c r="F1744" s="81" t="s">
        <v>16</v>
      </c>
      <c r="G1744" s="68">
        <v>45</v>
      </c>
      <c r="H1744" s="277">
        <f t="shared" si="165"/>
        <v>0</v>
      </c>
      <c r="I1744" s="278">
        <f t="shared" si="167"/>
        <v>0</v>
      </c>
    </row>
    <row r="1745" spans="2:9" ht="13.2">
      <c r="B1745" s="367" t="s">
        <v>314</v>
      </c>
      <c r="C1745" s="60" t="s">
        <v>170</v>
      </c>
      <c r="D1745" s="60"/>
      <c r="E1745" s="61" t="s">
        <v>72</v>
      </c>
      <c r="F1745" s="81" t="s">
        <v>13</v>
      </c>
      <c r="G1745" s="260" t="s">
        <v>13</v>
      </c>
      <c r="H1745" s="277" t="s">
        <v>13</v>
      </c>
      <c r="I1745" s="269" t="s">
        <v>13</v>
      </c>
    </row>
    <row r="1746" spans="2:9" ht="34.200000000000003">
      <c r="B1746" s="368" t="s">
        <v>315</v>
      </c>
      <c r="C1746" s="66"/>
      <c r="D1746" s="66"/>
      <c r="E1746" s="144" t="s">
        <v>148</v>
      </c>
      <c r="F1746" s="81" t="s">
        <v>4</v>
      </c>
      <c r="G1746" s="68">
        <v>9.1999999999999993</v>
      </c>
      <c r="H1746" s="277">
        <f t="shared" si="165"/>
        <v>0</v>
      </c>
      <c r="I1746" s="278">
        <f>ROUND($G1746*H1746,2)</f>
        <v>0</v>
      </c>
    </row>
    <row r="1747" spans="2:9" ht="22.8">
      <c r="B1747" s="367" t="s">
        <v>316</v>
      </c>
      <c r="C1747" s="60" t="s">
        <v>196</v>
      </c>
      <c r="D1747" s="60"/>
      <c r="E1747" s="145" t="s">
        <v>131</v>
      </c>
      <c r="F1747" s="146" t="s">
        <v>13</v>
      </c>
      <c r="G1747" s="245" t="s">
        <v>13</v>
      </c>
      <c r="H1747" s="277" t="s">
        <v>13</v>
      </c>
      <c r="I1747" s="269" t="s">
        <v>13</v>
      </c>
    </row>
    <row r="1748" spans="2:9" ht="34.200000000000003">
      <c r="B1748" s="368" t="s">
        <v>317</v>
      </c>
      <c r="C1748" s="66"/>
      <c r="D1748" s="66"/>
      <c r="E1748" s="147" t="s">
        <v>529</v>
      </c>
      <c r="F1748" s="146" t="s">
        <v>4</v>
      </c>
      <c r="G1748" s="68">
        <v>26</v>
      </c>
      <c r="H1748" s="277">
        <f t="shared" si="165"/>
        <v>0</v>
      </c>
      <c r="I1748" s="278">
        <f t="shared" ref="I1748:I1750" si="168">ROUND($G1748*H1748,2)</f>
        <v>0</v>
      </c>
    </row>
    <row r="1749" spans="2:9" ht="22.8">
      <c r="B1749" s="368" t="s">
        <v>318</v>
      </c>
      <c r="C1749" s="66"/>
      <c r="D1749" s="66"/>
      <c r="E1749" s="147" t="s">
        <v>147</v>
      </c>
      <c r="F1749" s="146" t="s">
        <v>4</v>
      </c>
      <c r="G1749" s="68">
        <v>9.5</v>
      </c>
      <c r="H1749" s="277">
        <f>L1749*$K$5</f>
        <v>0</v>
      </c>
      <c r="I1749" s="278">
        <f t="shared" si="168"/>
        <v>0</v>
      </c>
    </row>
    <row r="1750" spans="2:9" ht="15.6">
      <c r="B1750" s="368" t="s">
        <v>319</v>
      </c>
      <c r="C1750" s="83"/>
      <c r="D1750" s="83"/>
      <c r="E1750" s="147" t="s">
        <v>145</v>
      </c>
      <c r="F1750" s="146" t="s">
        <v>76</v>
      </c>
      <c r="G1750" s="68">
        <v>2</v>
      </c>
      <c r="H1750" s="277">
        <f t="shared" si="165"/>
        <v>0</v>
      </c>
      <c r="I1750" s="278">
        <f t="shared" si="168"/>
        <v>0</v>
      </c>
    </row>
    <row r="1751" spans="2:9" ht="22.8">
      <c r="B1751" s="367" t="s">
        <v>320</v>
      </c>
      <c r="C1751" s="74" t="s">
        <v>197</v>
      </c>
      <c r="D1751" s="74"/>
      <c r="E1751" s="148" t="s">
        <v>73</v>
      </c>
      <c r="F1751" s="81" t="s">
        <v>13</v>
      </c>
      <c r="G1751" s="228" t="s">
        <v>13</v>
      </c>
      <c r="H1751" s="277" t="s">
        <v>13</v>
      </c>
      <c r="I1751" s="269" t="s">
        <v>13</v>
      </c>
    </row>
    <row r="1752" spans="2:9" ht="13.2">
      <c r="B1752" s="368" t="s">
        <v>321</v>
      </c>
      <c r="C1752" s="98"/>
      <c r="D1752" s="98"/>
      <c r="E1752" s="149" t="s">
        <v>74</v>
      </c>
      <c r="F1752" s="136" t="s">
        <v>3</v>
      </c>
      <c r="G1752" s="68">
        <v>1</v>
      </c>
      <c r="H1752" s="277">
        <f t="shared" si="165"/>
        <v>0</v>
      </c>
      <c r="I1752" s="278">
        <f t="shared" ref="I1752:I1753" si="169">ROUND($G1752*H1752,2)</f>
        <v>0</v>
      </c>
    </row>
    <row r="1753" spans="2:9" ht="22.8">
      <c r="B1753" s="368" t="s">
        <v>322</v>
      </c>
      <c r="C1753" s="101"/>
      <c r="D1753" s="101"/>
      <c r="E1753" s="150" t="s">
        <v>128</v>
      </c>
      <c r="F1753" s="151" t="s">
        <v>3</v>
      </c>
      <c r="G1753" s="68">
        <v>12</v>
      </c>
      <c r="H1753" s="277">
        <f t="shared" si="165"/>
        <v>0</v>
      </c>
      <c r="I1753" s="278">
        <f t="shared" si="169"/>
        <v>0</v>
      </c>
    </row>
    <row r="1754" spans="2:9" ht="13.2">
      <c r="B1754" s="367" t="s">
        <v>323</v>
      </c>
      <c r="C1754" s="60" t="s">
        <v>198</v>
      </c>
      <c r="D1754" s="60"/>
      <c r="E1754" s="152" t="s">
        <v>75</v>
      </c>
      <c r="F1754" s="153" t="s">
        <v>13</v>
      </c>
      <c r="G1754" s="235" t="s">
        <v>13</v>
      </c>
      <c r="H1754" s="277" t="s">
        <v>13</v>
      </c>
      <c r="I1754" s="269" t="s">
        <v>13</v>
      </c>
    </row>
    <row r="1755" spans="2:9" ht="13.2">
      <c r="B1755" s="368" t="s">
        <v>324</v>
      </c>
      <c r="C1755" s="83"/>
      <c r="D1755" s="66"/>
      <c r="E1755" s="141" t="s">
        <v>164</v>
      </c>
      <c r="F1755" s="137" t="s">
        <v>16</v>
      </c>
      <c r="G1755" s="68">
        <v>45</v>
      </c>
      <c r="H1755" s="277">
        <f t="shared" si="165"/>
        <v>0</v>
      </c>
      <c r="I1755" s="278">
        <f>ROUND($G1755*H1755,2)</f>
        <v>0</v>
      </c>
    </row>
    <row r="1756" spans="2:9" ht="13.2">
      <c r="B1756" s="367" t="s">
        <v>325</v>
      </c>
      <c r="C1756" s="60" t="s">
        <v>199</v>
      </c>
      <c r="D1756" s="60"/>
      <c r="E1756" s="152" t="s">
        <v>110</v>
      </c>
      <c r="F1756" s="151" t="s">
        <v>13</v>
      </c>
      <c r="G1756" s="154" t="s">
        <v>13</v>
      </c>
      <c r="H1756" s="277" t="s">
        <v>13</v>
      </c>
      <c r="I1756" s="269" t="s">
        <v>13</v>
      </c>
    </row>
    <row r="1757" spans="2:9" ht="22.8">
      <c r="B1757" s="370" t="s">
        <v>326</v>
      </c>
      <c r="C1757" s="66"/>
      <c r="D1757" s="82"/>
      <c r="E1757" s="155" t="s">
        <v>126</v>
      </c>
      <c r="F1757" s="81" t="s">
        <v>16</v>
      </c>
      <c r="G1757" s="68">
        <v>82</v>
      </c>
      <c r="H1757" s="277">
        <f>L1757*$K$5</f>
        <v>0</v>
      </c>
      <c r="I1757" s="278">
        <f>ROUND($G1757*H1757,2)</f>
        <v>0</v>
      </c>
    </row>
    <row r="1758" spans="2:9" ht="13.2">
      <c r="B1758" s="370" t="s">
        <v>497</v>
      </c>
      <c r="C1758" s="218" t="s">
        <v>624</v>
      </c>
      <c r="D1758" s="193"/>
      <c r="E1758" s="158" t="s">
        <v>162</v>
      </c>
      <c r="F1758" s="128" t="s">
        <v>13</v>
      </c>
      <c r="G1758" s="240" t="s">
        <v>13</v>
      </c>
      <c r="H1758" s="277" t="s">
        <v>13</v>
      </c>
      <c r="I1758" s="269" t="s">
        <v>13</v>
      </c>
    </row>
    <row r="1759" spans="2:9" ht="13.2">
      <c r="B1759" s="370" t="s">
        <v>328</v>
      </c>
      <c r="C1759" s="83"/>
      <c r="D1759" s="159"/>
      <c r="E1759" s="158" t="s">
        <v>242</v>
      </c>
      <c r="F1759" s="81" t="s">
        <v>2</v>
      </c>
      <c r="G1759" s="68">
        <v>2</v>
      </c>
      <c r="H1759" s="277">
        <f t="shared" si="165"/>
        <v>0</v>
      </c>
      <c r="I1759" s="278">
        <f>ROUND($G1759*H1759,2)</f>
        <v>0</v>
      </c>
    </row>
    <row r="1760" spans="2:9" ht="13.2">
      <c r="B1760" s="369"/>
      <c r="C1760" s="12"/>
      <c r="D1760" s="25"/>
      <c r="E1760" s="14" t="s">
        <v>77</v>
      </c>
      <c r="F1760" s="13"/>
      <c r="G1760" s="96"/>
      <c r="H1760" s="41" t="s">
        <v>13</v>
      </c>
      <c r="I1760" s="34" t="s">
        <v>13</v>
      </c>
    </row>
    <row r="1761" spans="2:9" ht="13.8">
      <c r="B1761" s="367"/>
      <c r="C1761" s="571" t="s">
        <v>332</v>
      </c>
      <c r="D1761" s="572"/>
      <c r="E1761" s="573"/>
      <c r="F1761" s="7"/>
      <c r="G1761" s="161"/>
      <c r="H1761" s="33" t="s">
        <v>13</v>
      </c>
      <c r="I1761" s="10">
        <f>SUM(I1656:I1759)</f>
        <v>0</v>
      </c>
    </row>
    <row r="1762" spans="2:9" ht="26.4">
      <c r="B1762" s="205" t="s">
        <v>334</v>
      </c>
      <c r="C1762" s="563" t="s">
        <v>625</v>
      </c>
      <c r="D1762" s="564"/>
      <c r="E1762" s="565"/>
      <c r="F1762" s="565"/>
      <c r="G1762" s="565"/>
      <c r="H1762" s="565"/>
      <c r="I1762" s="566"/>
    </row>
    <row r="1763" spans="2:9" ht="24">
      <c r="B1763" s="204" t="s">
        <v>0</v>
      </c>
      <c r="C1763" s="404" t="s">
        <v>210</v>
      </c>
      <c r="D1763" s="404" t="s">
        <v>333</v>
      </c>
      <c r="E1763" s="405" t="s">
        <v>203</v>
      </c>
      <c r="F1763" s="310" t="s">
        <v>204</v>
      </c>
      <c r="G1763" s="405" t="s">
        <v>1</v>
      </c>
      <c r="H1763" s="41" t="s">
        <v>111</v>
      </c>
      <c r="I1763" s="406" t="s">
        <v>112</v>
      </c>
    </row>
    <row r="1764" spans="2:9" ht="13.2">
      <c r="B1764" s="367" t="s">
        <v>499</v>
      </c>
      <c r="C1764" s="375" t="s">
        <v>500</v>
      </c>
      <c r="D1764" s="374"/>
      <c r="E1764" s="376" t="s">
        <v>501</v>
      </c>
      <c r="F1764" s="377"/>
      <c r="G1764" s="381">
        <v>0</v>
      </c>
      <c r="H1764" s="396"/>
      <c r="I1764" s="396"/>
    </row>
    <row r="1765" spans="2:9" ht="13.2">
      <c r="B1765" s="367" t="s">
        <v>247</v>
      </c>
      <c r="C1765" s="375" t="s">
        <v>171</v>
      </c>
      <c r="D1765" s="374"/>
      <c r="E1765" s="376" t="s">
        <v>14</v>
      </c>
      <c r="F1765" s="377"/>
      <c r="G1765" s="378"/>
      <c r="H1765" s="379"/>
      <c r="I1765" s="380"/>
    </row>
    <row r="1766" spans="2:9" ht="13.2">
      <c r="B1766" s="367"/>
      <c r="C1766" s="71"/>
      <c r="D1766" s="72"/>
      <c r="E1766" s="35" t="s">
        <v>437</v>
      </c>
      <c r="F1766" s="30"/>
      <c r="G1766" s="40"/>
      <c r="H1766" s="246"/>
      <c r="I1766" s="36"/>
    </row>
    <row r="1767" spans="2:9" ht="12">
      <c r="B1767" s="369"/>
      <c r="C1767" s="129"/>
      <c r="D1767" s="130"/>
      <c r="E1767" s="87" t="s">
        <v>447</v>
      </c>
      <c r="F1767" s="13" t="s">
        <v>153</v>
      </c>
      <c r="G1767" s="134"/>
      <c r="H1767" s="41"/>
      <c r="I1767" s="34" t="s">
        <v>13</v>
      </c>
    </row>
    <row r="1768" spans="2:9" ht="13.2">
      <c r="B1768" s="367" t="s">
        <v>250</v>
      </c>
      <c r="C1768" s="375" t="s">
        <v>172</v>
      </c>
      <c r="D1768" s="374"/>
      <c r="E1768" s="376" t="s">
        <v>20</v>
      </c>
      <c r="F1768" s="377"/>
      <c r="G1768" s="378"/>
      <c r="H1768" s="397"/>
      <c r="I1768" s="380"/>
    </row>
    <row r="1769" spans="2:9" ht="24">
      <c r="B1769" s="367"/>
      <c r="C1769" s="71"/>
      <c r="D1769" s="72"/>
      <c r="E1769" s="73" t="s">
        <v>241</v>
      </c>
      <c r="F1769" s="30"/>
      <c r="G1769" s="40"/>
      <c r="H1769" s="44"/>
      <c r="I1769" s="36"/>
    </row>
    <row r="1770" spans="2:9" ht="12">
      <c r="B1770" s="367" t="s">
        <v>251</v>
      </c>
      <c r="C1770" s="74" t="s">
        <v>173</v>
      </c>
      <c r="D1770" s="75"/>
      <c r="E1770" s="76" t="s">
        <v>115</v>
      </c>
      <c r="F1770" s="62" t="s">
        <v>13</v>
      </c>
      <c r="G1770" s="63" t="s">
        <v>13</v>
      </c>
      <c r="H1770" s="276" t="s">
        <v>13</v>
      </c>
      <c r="I1770" s="269" t="s">
        <v>13</v>
      </c>
    </row>
    <row r="1771" spans="2:9">
      <c r="B1771" s="369"/>
      <c r="C1771" s="77"/>
      <c r="D1771" s="78"/>
      <c r="E1771" s="79" t="s">
        <v>117</v>
      </c>
      <c r="F1771" s="62" t="s">
        <v>13</v>
      </c>
      <c r="G1771" s="63" t="s">
        <v>13</v>
      </c>
      <c r="H1771" s="276" t="s">
        <v>13</v>
      </c>
      <c r="I1771" s="269" t="s">
        <v>13</v>
      </c>
    </row>
    <row r="1772" spans="2:9" ht="13.2">
      <c r="B1772" s="368" t="s">
        <v>252</v>
      </c>
      <c r="C1772" s="66"/>
      <c r="D1772" s="82"/>
      <c r="E1772" s="80" t="s">
        <v>365</v>
      </c>
      <c r="F1772" s="81" t="s">
        <v>23</v>
      </c>
      <c r="G1772" s="68">
        <v>9414</v>
      </c>
      <c r="H1772" s="277">
        <f>L1772*$K$5</f>
        <v>0</v>
      </c>
      <c r="I1772" s="278">
        <f t="shared" ref="I1772:I1775" si="170">ROUND($G1772*H1772,2)</f>
        <v>0</v>
      </c>
    </row>
    <row r="1773" spans="2:9" ht="13.2">
      <c r="B1773" s="368" t="s">
        <v>253</v>
      </c>
      <c r="C1773" s="66"/>
      <c r="D1773" s="82"/>
      <c r="E1773" s="80" t="s">
        <v>448</v>
      </c>
      <c r="F1773" s="81" t="s">
        <v>23</v>
      </c>
      <c r="G1773" s="68">
        <v>5559</v>
      </c>
      <c r="H1773" s="277">
        <f t="shared" ref="H1773:H1775" si="171">L1773*$K$5</f>
        <v>0</v>
      </c>
      <c r="I1773" s="278">
        <f t="shared" si="170"/>
        <v>0</v>
      </c>
    </row>
    <row r="1774" spans="2:9" ht="13.2">
      <c r="B1774" s="368" t="s">
        <v>254</v>
      </c>
      <c r="C1774" s="66"/>
      <c r="D1774" s="82"/>
      <c r="E1774" s="80" t="s">
        <v>590</v>
      </c>
      <c r="F1774" s="81" t="s">
        <v>23</v>
      </c>
      <c r="G1774" s="68">
        <v>5314</v>
      </c>
      <c r="H1774" s="277">
        <f t="shared" si="171"/>
        <v>0</v>
      </c>
      <c r="I1774" s="278">
        <f t="shared" si="170"/>
        <v>0</v>
      </c>
    </row>
    <row r="1775" spans="2:9" ht="13.2">
      <c r="B1775" s="368" t="s">
        <v>255</v>
      </c>
      <c r="C1775" s="83"/>
      <c r="D1775" s="84"/>
      <c r="E1775" s="80" t="s">
        <v>582</v>
      </c>
      <c r="F1775" s="81" t="s">
        <v>23</v>
      </c>
      <c r="G1775" s="68">
        <v>4494</v>
      </c>
      <c r="H1775" s="277">
        <f t="shared" si="171"/>
        <v>0</v>
      </c>
      <c r="I1775" s="278">
        <f t="shared" si="170"/>
        <v>0</v>
      </c>
    </row>
    <row r="1776" spans="2:9" ht="12">
      <c r="B1776" s="369"/>
      <c r="C1776" s="83"/>
      <c r="D1776" s="84"/>
      <c r="E1776" s="87" t="s">
        <v>26</v>
      </c>
      <c r="F1776" s="81" t="s">
        <v>153</v>
      </c>
      <c r="G1776" s="37"/>
      <c r="H1776" s="41"/>
      <c r="I1776" s="34" t="s">
        <v>13</v>
      </c>
    </row>
    <row r="1777" spans="2:9" ht="13.2">
      <c r="B1777" s="367" t="s">
        <v>256</v>
      </c>
      <c r="C1777" s="375" t="s">
        <v>174</v>
      </c>
      <c r="D1777" s="374"/>
      <c r="E1777" s="376" t="s">
        <v>27</v>
      </c>
      <c r="F1777" s="377"/>
      <c r="G1777" s="378"/>
      <c r="H1777" s="397"/>
      <c r="I1777" s="380"/>
    </row>
    <row r="1778" spans="2:9" ht="24">
      <c r="B1778" s="367"/>
      <c r="C1778" s="71"/>
      <c r="D1778" s="72"/>
      <c r="E1778" s="73" t="s">
        <v>241</v>
      </c>
      <c r="F1778" s="30"/>
      <c r="G1778" s="40"/>
      <c r="H1778" s="44"/>
      <c r="I1778" s="36"/>
    </row>
    <row r="1779" spans="2:9" ht="12">
      <c r="B1779" s="367" t="s">
        <v>257</v>
      </c>
      <c r="C1779" s="74" t="s">
        <v>175</v>
      </c>
      <c r="D1779" s="75"/>
      <c r="E1779" s="76" t="s">
        <v>29</v>
      </c>
      <c r="F1779" s="62" t="s">
        <v>13</v>
      </c>
      <c r="G1779" s="63" t="s">
        <v>13</v>
      </c>
      <c r="H1779" s="276" t="s">
        <v>13</v>
      </c>
      <c r="I1779" s="269" t="s">
        <v>13</v>
      </c>
    </row>
    <row r="1780" spans="2:9" ht="22.8">
      <c r="B1780" s="368" t="s">
        <v>258</v>
      </c>
      <c r="C1780" s="98"/>
      <c r="D1780" s="99"/>
      <c r="E1780" s="76" t="s">
        <v>367</v>
      </c>
      <c r="F1780" s="62" t="s">
        <v>17</v>
      </c>
      <c r="G1780" s="68">
        <v>143</v>
      </c>
      <c r="H1780" s="277">
        <f>L1780*$K$5</f>
        <v>0</v>
      </c>
      <c r="I1780" s="278">
        <f>ROUND($G1780*H1780,2)</f>
        <v>0</v>
      </c>
    </row>
    <row r="1781" spans="2:9" ht="13.2">
      <c r="B1781" s="367" t="s">
        <v>584</v>
      </c>
      <c r="C1781" s="66" t="s">
        <v>177</v>
      </c>
      <c r="D1781" s="66"/>
      <c r="E1781" s="90" t="s">
        <v>129</v>
      </c>
      <c r="F1781" s="81" t="s">
        <v>13</v>
      </c>
      <c r="G1781" s="228" t="s">
        <v>13</v>
      </c>
      <c r="H1781" s="277" t="s">
        <v>13</v>
      </c>
      <c r="I1781" s="48" t="s">
        <v>13</v>
      </c>
    </row>
    <row r="1782" spans="2:9" ht="13.2">
      <c r="B1782" s="368" t="s">
        <v>585</v>
      </c>
      <c r="C1782" s="83"/>
      <c r="D1782" s="83"/>
      <c r="E1782" s="67" t="s">
        <v>570</v>
      </c>
      <c r="F1782" s="62" t="s">
        <v>17</v>
      </c>
      <c r="G1782" s="68">
        <v>78</v>
      </c>
      <c r="H1782" s="277">
        <f t="shared" ref="H1782:H1793" si="172">L1782*$K$5</f>
        <v>0</v>
      </c>
      <c r="I1782" s="278">
        <f>ROUND($G1782*H1782,2)</f>
        <v>0</v>
      </c>
    </row>
    <row r="1783" spans="2:9" ht="13.2">
      <c r="B1783" s="367" t="s">
        <v>259</v>
      </c>
      <c r="C1783" s="60" t="s">
        <v>179</v>
      </c>
      <c r="D1783" s="60"/>
      <c r="E1783" s="90" t="s">
        <v>130</v>
      </c>
      <c r="F1783" s="62" t="s">
        <v>13</v>
      </c>
      <c r="G1783" s="63" t="s">
        <v>13</v>
      </c>
      <c r="H1783" s="277" t="s">
        <v>13</v>
      </c>
      <c r="I1783" s="269" t="s">
        <v>13</v>
      </c>
    </row>
    <row r="1784" spans="2:9" ht="22.8">
      <c r="B1784" s="368" t="s">
        <v>260</v>
      </c>
      <c r="C1784" s="66"/>
      <c r="D1784" s="66"/>
      <c r="E1784" s="90" t="s">
        <v>452</v>
      </c>
      <c r="F1784" s="62" t="s">
        <v>17</v>
      </c>
      <c r="G1784" s="93">
        <v>40</v>
      </c>
      <c r="H1784" s="277">
        <f t="shared" si="172"/>
        <v>0</v>
      </c>
      <c r="I1784" s="278">
        <f>ROUND($G1784*H1784,2)</f>
        <v>0</v>
      </c>
    </row>
    <row r="1785" spans="2:9" ht="13.2">
      <c r="B1785" s="367" t="s">
        <v>261</v>
      </c>
      <c r="C1785" s="60" t="s">
        <v>541</v>
      </c>
      <c r="D1785" s="60"/>
      <c r="E1785" s="90" t="s">
        <v>542</v>
      </c>
      <c r="F1785" s="62" t="s">
        <v>13</v>
      </c>
      <c r="G1785" s="63" t="s">
        <v>13</v>
      </c>
      <c r="H1785" s="277" t="s">
        <v>13</v>
      </c>
      <c r="I1785" s="269" t="s">
        <v>13</v>
      </c>
    </row>
    <row r="1786" spans="2:9" ht="22.8">
      <c r="B1786" s="368" t="s">
        <v>262</v>
      </c>
      <c r="C1786" s="66"/>
      <c r="D1786" s="66"/>
      <c r="E1786" s="90" t="s">
        <v>583</v>
      </c>
      <c r="F1786" s="62" t="s">
        <v>17</v>
      </c>
      <c r="G1786" s="93">
        <v>44</v>
      </c>
      <c r="H1786" s="277">
        <f t="shared" si="172"/>
        <v>0</v>
      </c>
      <c r="I1786" s="278">
        <f>ROUND($G1786*H1786,2)</f>
        <v>0</v>
      </c>
    </row>
    <row r="1787" spans="2:9" ht="13.2">
      <c r="B1787" s="369"/>
      <c r="C1787" s="62"/>
      <c r="D1787" s="95"/>
      <c r="E1787" s="87" t="s">
        <v>39</v>
      </c>
      <c r="F1787" s="62" t="s">
        <v>153</v>
      </c>
      <c r="G1787" s="96"/>
      <c r="H1787"/>
      <c r="I1787" s="34" t="s">
        <v>13</v>
      </c>
    </row>
    <row r="1788" spans="2:9" ht="13.2">
      <c r="B1788" s="367" t="s">
        <v>263</v>
      </c>
      <c r="C1788" s="74" t="s">
        <v>181</v>
      </c>
      <c r="D1788" s="75"/>
      <c r="E1788" s="97" t="s">
        <v>139</v>
      </c>
      <c r="F1788" s="62" t="s">
        <v>13</v>
      </c>
      <c r="G1788" s="63" t="s">
        <v>13</v>
      </c>
      <c r="H1788" s="277" t="s">
        <v>13</v>
      </c>
      <c r="I1788" s="269" t="s">
        <v>13</v>
      </c>
    </row>
    <row r="1789" spans="2:9" ht="22.8">
      <c r="B1789" s="368" t="s">
        <v>264</v>
      </c>
      <c r="C1789" s="98"/>
      <c r="D1789" s="99"/>
      <c r="E1789" s="100" t="s">
        <v>140</v>
      </c>
      <c r="F1789" s="62" t="s">
        <v>17</v>
      </c>
      <c r="G1789" s="68">
        <v>45</v>
      </c>
      <c r="H1789" s="277">
        <f t="shared" si="172"/>
        <v>0</v>
      </c>
      <c r="I1789" s="278">
        <f t="shared" ref="I1789:I1790" si="173">ROUND($G1789*H1789,2)</f>
        <v>0</v>
      </c>
    </row>
    <row r="1790" spans="2:9" ht="22.8">
      <c r="B1790" s="368" t="s">
        <v>372</v>
      </c>
      <c r="C1790" s="101"/>
      <c r="D1790" s="102"/>
      <c r="E1790" s="100" t="s">
        <v>141</v>
      </c>
      <c r="F1790" s="62" t="s">
        <v>17</v>
      </c>
      <c r="G1790" s="68">
        <v>5</v>
      </c>
      <c r="H1790" s="277">
        <f t="shared" si="172"/>
        <v>0</v>
      </c>
      <c r="I1790" s="278">
        <f t="shared" si="173"/>
        <v>0</v>
      </c>
    </row>
    <row r="1791" spans="2:9" ht="13.2">
      <c r="B1791" s="369"/>
      <c r="C1791" s="101"/>
      <c r="D1791" s="102"/>
      <c r="E1791" s="87" t="s">
        <v>43</v>
      </c>
      <c r="F1791" s="62" t="s">
        <v>153</v>
      </c>
      <c r="G1791" s="39"/>
      <c r="H1791"/>
      <c r="I1791" s="34" t="s">
        <v>13</v>
      </c>
    </row>
    <row r="1792" spans="2:9" ht="13.2">
      <c r="B1792" s="367" t="s">
        <v>265</v>
      </c>
      <c r="C1792" s="74" t="s">
        <v>593</v>
      </c>
      <c r="D1792" s="75"/>
      <c r="E1792" s="97" t="s">
        <v>810</v>
      </c>
      <c r="F1792" s="62" t="s">
        <v>13</v>
      </c>
      <c r="G1792" s="63" t="s">
        <v>13</v>
      </c>
      <c r="H1792" s="277" t="s">
        <v>13</v>
      </c>
      <c r="I1792" s="42"/>
    </row>
    <row r="1793" spans="2:9" ht="36.6" customHeight="1">
      <c r="B1793" s="368" t="s">
        <v>266</v>
      </c>
      <c r="C1793" s="98"/>
      <c r="D1793" s="99"/>
      <c r="E1793" s="100" t="s">
        <v>627</v>
      </c>
      <c r="F1793" s="62" t="s">
        <v>4</v>
      </c>
      <c r="G1793" s="68">
        <v>53.5</v>
      </c>
      <c r="H1793" s="277">
        <f t="shared" si="172"/>
        <v>0</v>
      </c>
      <c r="I1793" s="278">
        <f t="shared" ref="I1793:I1794" si="174">ROUND($G1793*H1793,2)</f>
        <v>0</v>
      </c>
    </row>
    <row r="1794" spans="2:9" ht="13.2">
      <c r="B1794" s="368" t="s">
        <v>549</v>
      </c>
      <c r="C1794" s="103"/>
      <c r="D1794" s="104"/>
      <c r="E1794" s="100" t="s">
        <v>628</v>
      </c>
      <c r="F1794" s="62" t="s">
        <v>4</v>
      </c>
      <c r="G1794" s="68">
        <v>2.2000000000000002</v>
      </c>
      <c r="H1794" s="277">
        <f>L1794*$K$5</f>
        <v>0</v>
      </c>
      <c r="I1794" s="278">
        <f t="shared" si="174"/>
        <v>0</v>
      </c>
    </row>
    <row r="1795" spans="2:9" ht="12">
      <c r="B1795" s="369"/>
      <c r="C1795" s="103"/>
      <c r="D1795" s="104"/>
      <c r="E1795" s="87" t="s">
        <v>629</v>
      </c>
      <c r="F1795" s="62" t="s">
        <v>153</v>
      </c>
      <c r="G1795" s="39"/>
      <c r="H1795" s="41"/>
      <c r="I1795" s="34" t="s">
        <v>13</v>
      </c>
    </row>
    <row r="1796" spans="2:9" ht="13.2">
      <c r="B1796" s="367" t="s">
        <v>272</v>
      </c>
      <c r="C1796" s="375" t="s">
        <v>200</v>
      </c>
      <c r="D1796" s="374"/>
      <c r="E1796" s="376" t="s">
        <v>44</v>
      </c>
      <c r="F1796" s="377"/>
      <c r="G1796" s="431"/>
      <c r="H1796" s="397"/>
      <c r="I1796" s="380"/>
    </row>
    <row r="1797" spans="2:9" ht="24">
      <c r="B1797" s="367"/>
      <c r="C1797" s="71"/>
      <c r="D1797" s="72"/>
      <c r="E1797" s="73" t="s">
        <v>241</v>
      </c>
      <c r="F1797" s="30"/>
      <c r="G1797" s="43"/>
      <c r="H1797" s="44"/>
      <c r="I1797" s="36"/>
    </row>
    <row r="1798" spans="2:9" ht="12">
      <c r="B1798" s="367" t="s">
        <v>273</v>
      </c>
      <c r="C1798" s="74" t="s">
        <v>167</v>
      </c>
      <c r="D1798" s="74"/>
      <c r="E1798" s="90" t="s">
        <v>132</v>
      </c>
      <c r="F1798" s="62" t="s">
        <v>13</v>
      </c>
      <c r="G1798" s="228" t="s">
        <v>13</v>
      </c>
      <c r="H1798" s="276" t="s">
        <v>13</v>
      </c>
      <c r="I1798" s="269" t="s">
        <v>13</v>
      </c>
    </row>
    <row r="1799" spans="2:9" ht="13.2">
      <c r="B1799" s="368" t="s">
        <v>330</v>
      </c>
      <c r="C1799" s="106"/>
      <c r="D1799" s="106"/>
      <c r="E1799" s="67" t="s">
        <v>630</v>
      </c>
      <c r="F1799" s="62" t="s">
        <v>23</v>
      </c>
      <c r="G1799" s="68">
        <v>180</v>
      </c>
      <c r="H1799" s="277">
        <f>L1799*$K$5</f>
        <v>0</v>
      </c>
      <c r="I1799" s="278">
        <f>ROUND($G1799*H1799,2)</f>
        <v>0</v>
      </c>
    </row>
    <row r="1800" spans="2:9" ht="22.8">
      <c r="B1800" s="368" t="s">
        <v>454</v>
      </c>
      <c r="C1800" s="74" t="s">
        <v>355</v>
      </c>
      <c r="D1800" s="74"/>
      <c r="E1800" s="110" t="s">
        <v>357</v>
      </c>
      <c r="F1800" s="170" t="s">
        <v>13</v>
      </c>
      <c r="G1800" s="107" t="s">
        <v>13</v>
      </c>
      <c r="H1800" s="277" t="s">
        <v>13</v>
      </c>
      <c r="I1800" s="48" t="s">
        <v>13</v>
      </c>
    </row>
    <row r="1801" spans="2:9" ht="22.8">
      <c r="B1801" s="368" t="s">
        <v>274</v>
      </c>
      <c r="C1801" s="101"/>
      <c r="D1801" s="101"/>
      <c r="E1801" s="90" t="s">
        <v>154</v>
      </c>
      <c r="F1801" s="109" t="s">
        <v>15</v>
      </c>
      <c r="G1801" s="68">
        <v>38</v>
      </c>
      <c r="H1801" s="277">
        <f t="shared" ref="H1801" si="175">L1801*$K$5</f>
        <v>0</v>
      </c>
      <c r="I1801" s="278">
        <f>ROUND($G1801*H1801,2)</f>
        <v>0</v>
      </c>
    </row>
    <row r="1802" spans="2:9" ht="12">
      <c r="B1802" s="369"/>
      <c r="C1802" s="12"/>
      <c r="D1802" s="25"/>
      <c r="E1802" s="87" t="s">
        <v>46</v>
      </c>
      <c r="F1802" s="13" t="s">
        <v>153</v>
      </c>
      <c r="G1802" s="96"/>
      <c r="H1802" s="41"/>
      <c r="I1802" s="34" t="s">
        <v>13</v>
      </c>
    </row>
    <row r="1803" spans="2:9" ht="13.2">
      <c r="B1803" s="367" t="s">
        <v>275</v>
      </c>
      <c r="C1803" s="375" t="s">
        <v>201</v>
      </c>
      <c r="D1803" s="374"/>
      <c r="E1803" s="407" t="s">
        <v>380</v>
      </c>
      <c r="F1803" s="377"/>
      <c r="G1803" s="378"/>
      <c r="H1803" s="397"/>
      <c r="I1803" s="380"/>
    </row>
    <row r="1804" spans="2:9" ht="24">
      <c r="B1804" s="367"/>
      <c r="C1804" s="71"/>
      <c r="D1804" s="72"/>
      <c r="E1804" s="73" t="s">
        <v>241</v>
      </c>
      <c r="F1804" s="30"/>
      <c r="G1804" s="43"/>
      <c r="H1804" s="44"/>
      <c r="I1804" s="36"/>
    </row>
    <row r="1805" spans="2:9" ht="12">
      <c r="B1805" s="367" t="s">
        <v>276</v>
      </c>
      <c r="C1805" s="60" t="s">
        <v>182</v>
      </c>
      <c r="D1805" s="60"/>
      <c r="E1805" s="90" t="s">
        <v>49</v>
      </c>
      <c r="F1805" s="62" t="s">
        <v>13</v>
      </c>
      <c r="G1805" s="63" t="s">
        <v>13</v>
      </c>
      <c r="H1805" s="276" t="s">
        <v>13</v>
      </c>
      <c r="I1805" s="269" t="s">
        <v>13</v>
      </c>
    </row>
    <row r="1806" spans="2:9" ht="34.200000000000003">
      <c r="B1806" s="368" t="s">
        <v>277</v>
      </c>
      <c r="C1806" s="66"/>
      <c r="D1806" s="66"/>
      <c r="E1806" s="110" t="s">
        <v>207</v>
      </c>
      <c r="F1806" s="62" t="s">
        <v>15</v>
      </c>
      <c r="G1806" s="68">
        <v>205</v>
      </c>
      <c r="H1806" s="277">
        <f>L1806*$K$5</f>
        <v>0</v>
      </c>
      <c r="I1806" s="278">
        <f>ROUND($G1806*H1806,2)</f>
        <v>0</v>
      </c>
    </row>
    <row r="1807" spans="2:9" ht="45.6">
      <c r="B1807" s="368" t="s">
        <v>278</v>
      </c>
      <c r="C1807" s="83"/>
      <c r="D1807" s="83"/>
      <c r="E1807" s="92" t="s">
        <v>149</v>
      </c>
      <c r="F1807" s="62" t="s">
        <v>15</v>
      </c>
      <c r="G1807" s="68">
        <v>675</v>
      </c>
      <c r="H1807" s="277">
        <f t="shared" ref="H1807:H1811" si="176">L1807*$K$5</f>
        <v>0</v>
      </c>
      <c r="I1807" s="278">
        <f>ROUND($G1807*H1807,2)</f>
        <v>0</v>
      </c>
    </row>
    <row r="1808" spans="2:9" ht="13.2">
      <c r="B1808" s="367" t="s">
        <v>279</v>
      </c>
      <c r="C1808" s="74" t="s">
        <v>168</v>
      </c>
      <c r="D1808" s="74"/>
      <c r="E1808" s="90" t="s">
        <v>155</v>
      </c>
      <c r="F1808" s="81" t="s">
        <v>13</v>
      </c>
      <c r="G1808" s="228" t="s">
        <v>13</v>
      </c>
      <c r="H1808" s="277" t="s">
        <v>13</v>
      </c>
      <c r="I1808" s="269" t="s">
        <v>13</v>
      </c>
    </row>
    <row r="1809" spans="2:9" ht="13.2">
      <c r="B1809" s="368" t="s">
        <v>280</v>
      </c>
      <c r="C1809" s="101"/>
      <c r="D1809" s="101"/>
      <c r="E1809" s="90" t="s">
        <v>631</v>
      </c>
      <c r="F1809" s="62" t="s">
        <v>15</v>
      </c>
      <c r="G1809" s="68">
        <v>285</v>
      </c>
      <c r="H1809" s="277">
        <f t="shared" si="176"/>
        <v>0</v>
      </c>
      <c r="I1809" s="278">
        <f>ROUND($G1809*H1809,2)</f>
        <v>0</v>
      </c>
    </row>
    <row r="1810" spans="2:9" ht="13.2">
      <c r="B1810" s="367" t="s">
        <v>282</v>
      </c>
      <c r="C1810" s="74" t="s">
        <v>185</v>
      </c>
      <c r="D1810" s="74"/>
      <c r="E1810" s="90" t="s">
        <v>151</v>
      </c>
      <c r="F1810" s="81" t="s">
        <v>13</v>
      </c>
      <c r="G1810" s="228" t="s">
        <v>13</v>
      </c>
      <c r="H1810" s="277" t="s">
        <v>13</v>
      </c>
      <c r="I1810" s="269" t="s">
        <v>13</v>
      </c>
    </row>
    <row r="1811" spans="2:9" ht="22.8">
      <c r="B1811" s="368" t="s">
        <v>283</v>
      </c>
      <c r="C1811" s="98"/>
      <c r="D1811" s="98"/>
      <c r="E1811" s="90" t="s">
        <v>152</v>
      </c>
      <c r="F1811" s="83" t="s">
        <v>15</v>
      </c>
      <c r="G1811" s="68">
        <v>125</v>
      </c>
      <c r="H1811" s="277">
        <f t="shared" si="176"/>
        <v>0</v>
      </c>
      <c r="I1811" s="278">
        <f>ROUND($G1811*H1811,2)</f>
        <v>0</v>
      </c>
    </row>
    <row r="1812" spans="2:9" ht="12">
      <c r="B1812" s="369"/>
      <c r="C1812" s="12"/>
      <c r="D1812" s="25"/>
      <c r="E1812" s="87" t="s">
        <v>58</v>
      </c>
      <c r="F1812" s="13" t="s">
        <v>153</v>
      </c>
      <c r="G1812" s="96"/>
      <c r="H1812" s="41"/>
      <c r="I1812" s="34" t="s">
        <v>13</v>
      </c>
    </row>
    <row r="1813" spans="2:9" ht="13.2">
      <c r="B1813" s="367" t="s">
        <v>292</v>
      </c>
      <c r="C1813" s="375" t="s">
        <v>188</v>
      </c>
      <c r="D1813" s="374"/>
      <c r="E1813" s="376" t="s">
        <v>59</v>
      </c>
      <c r="F1813" s="377"/>
      <c r="G1813" s="378"/>
      <c r="H1813" s="397"/>
      <c r="I1813" s="380"/>
    </row>
    <row r="1814" spans="2:9" ht="24">
      <c r="B1814" s="367"/>
      <c r="C1814" s="71"/>
      <c r="D1814" s="72"/>
      <c r="E1814" s="73" t="s">
        <v>241</v>
      </c>
      <c r="F1814" s="30"/>
      <c r="G1814" s="43"/>
      <c r="H1814" s="44"/>
      <c r="I1814" s="36"/>
    </row>
    <row r="1815" spans="2:9" ht="12">
      <c r="B1815" s="367" t="s">
        <v>293</v>
      </c>
      <c r="C1815" s="120" t="s">
        <v>189</v>
      </c>
      <c r="D1815" s="121"/>
      <c r="E1815" s="122" t="s">
        <v>60</v>
      </c>
      <c r="F1815" s="62" t="s">
        <v>13</v>
      </c>
      <c r="G1815" s="63" t="s">
        <v>13</v>
      </c>
      <c r="H1815" s="276" t="s">
        <v>13</v>
      </c>
      <c r="I1815" s="269" t="s">
        <v>13</v>
      </c>
    </row>
    <row r="1816" spans="2:9" ht="34.200000000000003">
      <c r="B1816" s="368" t="s">
        <v>294</v>
      </c>
      <c r="C1816" s="123"/>
      <c r="D1816" s="124"/>
      <c r="E1816" s="80" t="s">
        <v>124</v>
      </c>
      <c r="F1816" s="81" t="s">
        <v>4</v>
      </c>
      <c r="G1816" s="68">
        <v>20</v>
      </c>
      <c r="H1816" s="277">
        <f>L1816*$K$5</f>
        <v>0</v>
      </c>
      <c r="I1816" s="278">
        <f t="shared" ref="I1816:I1817" si="177">ROUND($G1816*H1816,2)</f>
        <v>0</v>
      </c>
    </row>
    <row r="1817" spans="2:9" ht="34.200000000000003">
      <c r="B1817" s="368" t="s">
        <v>295</v>
      </c>
      <c r="C1817" s="125"/>
      <c r="D1817" s="126"/>
      <c r="E1817" s="127" t="s">
        <v>144</v>
      </c>
      <c r="F1817" s="128" t="s">
        <v>4</v>
      </c>
      <c r="G1817" s="68">
        <v>15</v>
      </c>
      <c r="H1817" s="277">
        <f>L1817*$K$5</f>
        <v>0</v>
      </c>
      <c r="I1817" s="278">
        <f t="shared" si="177"/>
        <v>0</v>
      </c>
    </row>
    <row r="1818" spans="2:9" ht="12">
      <c r="B1818" s="369"/>
      <c r="C1818" s="129"/>
      <c r="D1818" s="130"/>
      <c r="E1818" s="87" t="s">
        <v>61</v>
      </c>
      <c r="F1818" s="13" t="s">
        <v>153</v>
      </c>
      <c r="G1818" s="119"/>
      <c r="H1818" s="41"/>
      <c r="I1818" s="34" t="s">
        <v>13</v>
      </c>
    </row>
    <row r="1819" spans="2:9" ht="13.2">
      <c r="B1819" s="367" t="s">
        <v>297</v>
      </c>
      <c r="C1819" s="375" t="s">
        <v>190</v>
      </c>
      <c r="D1819" s="374"/>
      <c r="E1819" s="376" t="s">
        <v>62</v>
      </c>
      <c r="F1819" s="377"/>
      <c r="G1819" s="378"/>
      <c r="H1819" s="397"/>
      <c r="I1819" s="380"/>
    </row>
    <row r="1820" spans="2:9" ht="24">
      <c r="B1820" s="367"/>
      <c r="C1820" s="71"/>
      <c r="D1820" s="72"/>
      <c r="E1820" s="73" t="s">
        <v>241</v>
      </c>
      <c r="F1820" s="30"/>
      <c r="G1820" s="40"/>
      <c r="H1820" s="44"/>
      <c r="I1820" s="36"/>
    </row>
    <row r="1821" spans="2:9" ht="12">
      <c r="B1821" s="367" t="s">
        <v>298</v>
      </c>
      <c r="C1821" s="60" t="s">
        <v>191</v>
      </c>
      <c r="D1821" s="60"/>
      <c r="E1821" s="90" t="s">
        <v>244</v>
      </c>
      <c r="F1821" s="62" t="s">
        <v>13</v>
      </c>
      <c r="G1821" s="63" t="s">
        <v>13</v>
      </c>
      <c r="H1821" s="276" t="s">
        <v>13</v>
      </c>
      <c r="I1821" s="269" t="s">
        <v>13</v>
      </c>
    </row>
    <row r="1822" spans="2:9" ht="22.8">
      <c r="B1822" s="368" t="s">
        <v>299</v>
      </c>
      <c r="C1822" s="66"/>
      <c r="D1822" s="66"/>
      <c r="E1822" s="133" t="s">
        <v>246</v>
      </c>
      <c r="F1822" s="132" t="s">
        <v>23</v>
      </c>
      <c r="G1822" s="68">
        <v>410</v>
      </c>
      <c r="H1822" s="277">
        <f>L1822*$K$5</f>
        <v>0</v>
      </c>
      <c r="I1822" s="278">
        <f>ROUND($G1822*H1822,2)</f>
        <v>0</v>
      </c>
    </row>
    <row r="1823" spans="2:9" ht="12">
      <c r="B1823" s="369"/>
      <c r="C1823" s="12"/>
      <c r="D1823" s="25"/>
      <c r="E1823" s="87" t="s">
        <v>63</v>
      </c>
      <c r="F1823" s="13"/>
      <c r="G1823" s="134"/>
      <c r="H1823" s="41"/>
      <c r="I1823" s="34" t="s">
        <v>13</v>
      </c>
    </row>
    <row r="1824" spans="2:9" ht="13.2">
      <c r="B1824" s="367" t="s">
        <v>301</v>
      </c>
      <c r="C1824" s="375" t="s">
        <v>192</v>
      </c>
      <c r="D1824" s="374"/>
      <c r="E1824" s="376" t="s">
        <v>64</v>
      </c>
      <c r="F1824" s="377"/>
      <c r="G1824" s="378"/>
      <c r="H1824" s="397"/>
      <c r="I1824" s="380"/>
    </row>
    <row r="1825" spans="2:9" ht="24">
      <c r="B1825" s="367"/>
      <c r="C1825" s="71"/>
      <c r="D1825" s="72"/>
      <c r="E1825" s="73" t="s">
        <v>241</v>
      </c>
      <c r="F1825" s="30"/>
      <c r="G1825" s="40"/>
      <c r="H1825" s="36"/>
      <c r="I1825" s="36"/>
    </row>
    <row r="1826" spans="2:9" ht="12">
      <c r="B1826" s="367" t="s">
        <v>302</v>
      </c>
      <c r="C1826" s="74" t="s">
        <v>169</v>
      </c>
      <c r="D1826" s="75"/>
      <c r="E1826" s="122" t="s">
        <v>69</v>
      </c>
      <c r="F1826" s="62" t="s">
        <v>13</v>
      </c>
      <c r="G1826" s="63" t="s">
        <v>13</v>
      </c>
      <c r="H1826" s="276" t="s">
        <v>13</v>
      </c>
      <c r="I1826" s="269" t="s">
        <v>13</v>
      </c>
    </row>
    <row r="1827" spans="2:9" ht="34.200000000000003">
      <c r="B1827" s="368" t="s">
        <v>303</v>
      </c>
      <c r="C1827" s="98"/>
      <c r="D1827" s="99"/>
      <c r="E1827" s="80" t="s">
        <v>161</v>
      </c>
      <c r="F1827" s="81" t="s">
        <v>16</v>
      </c>
      <c r="G1827" s="68">
        <v>12</v>
      </c>
      <c r="H1827" s="277">
        <f>L1827*$K$5</f>
        <v>0</v>
      </c>
      <c r="I1827" s="278">
        <f>ROUND($G1827*H1827,2)</f>
        <v>0</v>
      </c>
    </row>
    <row r="1828" spans="2:9" ht="15.6">
      <c r="B1828" s="368" t="s">
        <v>632</v>
      </c>
      <c r="C1828" s="101"/>
      <c r="D1828" s="102"/>
      <c r="E1828" s="80" t="s">
        <v>556</v>
      </c>
      <c r="F1828" s="81" t="s">
        <v>76</v>
      </c>
      <c r="G1828" s="68">
        <v>405</v>
      </c>
      <c r="H1828" s="277">
        <f>L1828*$K$5</f>
        <v>0</v>
      </c>
      <c r="I1828" s="278">
        <f>ROUND($G1828*H1828,2)</f>
        <v>0</v>
      </c>
    </row>
    <row r="1829" spans="2:9" ht="13.2">
      <c r="B1829" s="367" t="s">
        <v>304</v>
      </c>
      <c r="C1829" s="60" t="s">
        <v>195</v>
      </c>
      <c r="D1829" s="60"/>
      <c r="E1829" s="90" t="s">
        <v>71</v>
      </c>
      <c r="F1829" s="140" t="s">
        <v>13</v>
      </c>
      <c r="G1829" s="234" t="s">
        <v>13</v>
      </c>
      <c r="H1829" s="277" t="s">
        <v>13</v>
      </c>
      <c r="I1829" s="269" t="s">
        <v>13</v>
      </c>
    </row>
    <row r="1830" spans="2:9" ht="57">
      <c r="B1830" s="368" t="s">
        <v>305</v>
      </c>
      <c r="C1830" s="66"/>
      <c r="D1830" s="66"/>
      <c r="E1830" s="141" t="s">
        <v>127</v>
      </c>
      <c r="F1830" s="137" t="s">
        <v>16</v>
      </c>
      <c r="G1830" s="68">
        <v>85</v>
      </c>
      <c r="H1830" s="277">
        <f t="shared" ref="H1830:H1837" si="178">L1830*$K$5</f>
        <v>0</v>
      </c>
      <c r="I1830" s="278">
        <f>ROUND($G1830*H1830,2)</f>
        <v>0</v>
      </c>
    </row>
    <row r="1831" spans="2:9" ht="13.2">
      <c r="B1831" s="367" t="s">
        <v>307</v>
      </c>
      <c r="C1831" s="60" t="s">
        <v>170</v>
      </c>
      <c r="D1831" s="60"/>
      <c r="E1831" s="61" t="s">
        <v>72</v>
      </c>
      <c r="F1831" s="81" t="s">
        <v>13</v>
      </c>
      <c r="G1831" s="260" t="s">
        <v>13</v>
      </c>
      <c r="H1831" s="277" t="s">
        <v>13</v>
      </c>
      <c r="I1831" s="269" t="s">
        <v>13</v>
      </c>
    </row>
    <row r="1832" spans="2:9" ht="34.200000000000003">
      <c r="B1832" s="368" t="s">
        <v>308</v>
      </c>
      <c r="C1832" s="66"/>
      <c r="D1832" s="66"/>
      <c r="E1832" s="144" t="s">
        <v>148</v>
      </c>
      <c r="F1832" s="81" t="s">
        <v>4</v>
      </c>
      <c r="G1832" s="68">
        <v>60</v>
      </c>
      <c r="H1832" s="277">
        <f t="shared" si="178"/>
        <v>0</v>
      </c>
      <c r="I1832" s="278">
        <f>ROUND($G1832*H1832,2)</f>
        <v>0</v>
      </c>
    </row>
    <row r="1833" spans="2:9" ht="22.8">
      <c r="B1833" s="367" t="s">
        <v>557</v>
      </c>
      <c r="C1833" s="60" t="s">
        <v>196</v>
      </c>
      <c r="D1833" s="60"/>
      <c r="E1833" s="145" t="s">
        <v>131</v>
      </c>
      <c r="F1833" s="146" t="s">
        <v>13</v>
      </c>
      <c r="G1833" s="245" t="s">
        <v>13</v>
      </c>
      <c r="H1833" s="277" t="s">
        <v>13</v>
      </c>
      <c r="I1833" s="269" t="s">
        <v>13</v>
      </c>
    </row>
    <row r="1834" spans="2:9" ht="34.200000000000003">
      <c r="B1834" s="368" t="s">
        <v>558</v>
      </c>
      <c r="C1834" s="66"/>
      <c r="D1834" s="66"/>
      <c r="E1834" s="147" t="s">
        <v>529</v>
      </c>
      <c r="F1834" s="146" t="s">
        <v>4</v>
      </c>
      <c r="G1834" s="68">
        <v>32</v>
      </c>
      <c r="H1834" s="277">
        <f t="shared" si="178"/>
        <v>0</v>
      </c>
      <c r="I1834" s="278">
        <f t="shared" ref="I1834:I1835" si="179">ROUND($G1834*H1834,2)</f>
        <v>0</v>
      </c>
    </row>
    <row r="1835" spans="2:9" ht="15.6">
      <c r="B1835" s="368" t="s">
        <v>559</v>
      </c>
      <c r="C1835" s="83"/>
      <c r="D1835" s="83"/>
      <c r="E1835" s="261" t="s">
        <v>633</v>
      </c>
      <c r="F1835" s="146" t="s">
        <v>76</v>
      </c>
      <c r="G1835" s="68">
        <v>240</v>
      </c>
      <c r="H1835" s="277">
        <f t="shared" si="178"/>
        <v>0</v>
      </c>
      <c r="I1835" s="278">
        <f t="shared" si="179"/>
        <v>0</v>
      </c>
    </row>
    <row r="1836" spans="2:9" ht="22.8">
      <c r="B1836" s="367" t="s">
        <v>311</v>
      </c>
      <c r="C1836" s="74" t="s">
        <v>197</v>
      </c>
      <c r="D1836" s="74"/>
      <c r="E1836" s="148" t="s">
        <v>73</v>
      </c>
      <c r="F1836" s="81" t="s">
        <v>13</v>
      </c>
      <c r="G1836" s="228" t="s">
        <v>13</v>
      </c>
      <c r="H1836" s="277" t="s">
        <v>13</v>
      </c>
      <c r="I1836" s="269" t="s">
        <v>13</v>
      </c>
    </row>
    <row r="1837" spans="2:9" ht="13.2">
      <c r="B1837" s="368" t="s">
        <v>312</v>
      </c>
      <c r="C1837" s="98"/>
      <c r="D1837" s="98"/>
      <c r="E1837" s="149" t="s">
        <v>74</v>
      </c>
      <c r="F1837" s="136" t="s">
        <v>3</v>
      </c>
      <c r="G1837" s="68">
        <v>2</v>
      </c>
      <c r="H1837" s="277">
        <f t="shared" si="178"/>
        <v>0</v>
      </c>
      <c r="I1837" s="278">
        <f t="shared" ref="I1837:I1838" si="180">ROUND($G1837*H1837,2)</f>
        <v>0</v>
      </c>
    </row>
    <row r="1838" spans="2:9" ht="22.8">
      <c r="B1838" s="368" t="s">
        <v>313</v>
      </c>
      <c r="C1838" s="101"/>
      <c r="D1838" s="101"/>
      <c r="E1838" s="150" t="s">
        <v>128</v>
      </c>
      <c r="F1838" s="151" t="s">
        <v>3</v>
      </c>
      <c r="G1838" s="68">
        <v>8</v>
      </c>
      <c r="H1838" s="277">
        <f>L1838*$K$5</f>
        <v>0</v>
      </c>
      <c r="I1838" s="278">
        <f t="shared" si="180"/>
        <v>0</v>
      </c>
    </row>
    <row r="1839" spans="2:9" ht="13.2">
      <c r="B1839" s="369"/>
      <c r="C1839" s="12"/>
      <c r="D1839" s="25"/>
      <c r="E1839" s="14" t="s">
        <v>77</v>
      </c>
      <c r="F1839" s="13"/>
      <c r="G1839" s="96"/>
      <c r="H1839" s="41"/>
      <c r="I1839" s="34" t="s">
        <v>13</v>
      </c>
    </row>
    <row r="1840" spans="2:9" ht="13.2">
      <c r="B1840" s="367" t="s">
        <v>465</v>
      </c>
      <c r="C1840" s="375" t="s">
        <v>466</v>
      </c>
      <c r="D1840" s="374"/>
      <c r="E1840" s="376" t="s">
        <v>467</v>
      </c>
      <c r="F1840" s="377"/>
      <c r="G1840" s="378"/>
      <c r="H1840" s="396"/>
      <c r="I1840" s="409"/>
    </row>
    <row r="1841" spans="2:9" ht="24">
      <c r="B1841" s="369"/>
      <c r="C1841" s="71"/>
      <c r="D1841" s="72"/>
      <c r="E1841" s="73" t="s">
        <v>241</v>
      </c>
      <c r="F1841" s="30"/>
      <c r="G1841" s="43"/>
      <c r="H1841" s="44"/>
      <c r="I1841" s="207"/>
    </row>
    <row r="1842" spans="2:9" ht="12">
      <c r="B1842" s="367" t="s">
        <v>468</v>
      </c>
      <c r="C1842" s="74" t="s">
        <v>466</v>
      </c>
      <c r="D1842" s="74"/>
      <c r="E1842" s="90" t="s">
        <v>469</v>
      </c>
      <c r="F1842" s="136" t="s">
        <v>13</v>
      </c>
      <c r="G1842" s="228" t="s">
        <v>13</v>
      </c>
      <c r="H1842" s="275" t="s">
        <v>13</v>
      </c>
      <c r="I1842" s="269" t="s">
        <v>13</v>
      </c>
    </row>
    <row r="1843" spans="2:9" ht="13.2">
      <c r="B1843" s="368" t="s">
        <v>470</v>
      </c>
      <c r="C1843" s="101"/>
      <c r="D1843" s="101"/>
      <c r="E1843" s="90" t="s">
        <v>505</v>
      </c>
      <c r="F1843" s="62" t="s">
        <v>2</v>
      </c>
      <c r="G1843" s="68">
        <v>1</v>
      </c>
      <c r="H1843" s="277">
        <f>L1843*$K$5</f>
        <v>0</v>
      </c>
      <c r="I1843" s="278">
        <f>ROUND($G1843*H1843,2)</f>
        <v>0</v>
      </c>
    </row>
    <row r="1844" spans="2:9" ht="13.2">
      <c r="B1844" s="367" t="s">
        <v>472</v>
      </c>
      <c r="C1844" s="74" t="s">
        <v>473</v>
      </c>
      <c r="D1844" s="74"/>
      <c r="E1844" s="90" t="s">
        <v>474</v>
      </c>
      <c r="F1844" s="136" t="s">
        <v>13</v>
      </c>
      <c r="G1844" s="228" t="s">
        <v>13</v>
      </c>
      <c r="H1844" s="277" t="s">
        <v>13</v>
      </c>
      <c r="I1844" s="269" t="s">
        <v>13</v>
      </c>
    </row>
    <row r="1845" spans="2:9" ht="13.2">
      <c r="B1845" s="368" t="s">
        <v>475</v>
      </c>
      <c r="C1845" s="101"/>
      <c r="D1845" s="101"/>
      <c r="E1845" s="90" t="s">
        <v>476</v>
      </c>
      <c r="F1845" s="62" t="s">
        <v>15</v>
      </c>
      <c r="G1845" s="68">
        <v>25</v>
      </c>
      <c r="H1845" s="277">
        <f t="shared" ref="H1845:H1847" si="181">L1845*$K$5</f>
        <v>0</v>
      </c>
      <c r="I1845" s="278">
        <f>ROUND($G1845*H1845,2)</f>
        <v>0</v>
      </c>
    </row>
    <row r="1846" spans="2:9" ht="13.2">
      <c r="B1846" s="367" t="s">
        <v>477</v>
      </c>
      <c r="C1846" s="74" t="s">
        <v>478</v>
      </c>
      <c r="D1846" s="74"/>
      <c r="E1846" s="90" t="s">
        <v>479</v>
      </c>
      <c r="F1846" s="136" t="s">
        <v>13</v>
      </c>
      <c r="G1846" s="228" t="s">
        <v>13</v>
      </c>
      <c r="H1846" s="277" t="s">
        <v>13</v>
      </c>
      <c r="I1846" s="269" t="s">
        <v>13</v>
      </c>
    </row>
    <row r="1847" spans="2:9" ht="13.2">
      <c r="B1847" s="368" t="s">
        <v>480</v>
      </c>
      <c r="C1847" s="101"/>
      <c r="D1847" s="101"/>
      <c r="E1847" s="90" t="s">
        <v>481</v>
      </c>
      <c r="F1847" s="62" t="s">
        <v>17</v>
      </c>
      <c r="G1847" s="68">
        <v>3.5</v>
      </c>
      <c r="H1847" s="277">
        <f t="shared" si="181"/>
        <v>0</v>
      </c>
      <c r="I1847" s="278">
        <f>ROUND($G1847*H1847,2)</f>
        <v>0</v>
      </c>
    </row>
    <row r="1848" spans="2:9" ht="12">
      <c r="B1848" s="369"/>
      <c r="C1848" s="12"/>
      <c r="D1848" s="25"/>
      <c r="E1848" s="87" t="s">
        <v>492</v>
      </c>
      <c r="F1848" s="13"/>
      <c r="G1848" s="96"/>
      <c r="H1848" s="41" t="s">
        <v>13</v>
      </c>
      <c r="I1848" s="34" t="s">
        <v>13</v>
      </c>
    </row>
    <row r="1849" spans="2:9" ht="13.8">
      <c r="B1849" s="367"/>
      <c r="C1849" s="571" t="s">
        <v>332</v>
      </c>
      <c r="D1849" s="572"/>
      <c r="E1849" s="573"/>
      <c r="F1849" s="7"/>
      <c r="G1849" s="161"/>
      <c r="H1849" s="33" t="s">
        <v>13</v>
      </c>
      <c r="I1849" s="10">
        <f>SUM(I1767:I1847)</f>
        <v>0</v>
      </c>
    </row>
    <row r="1850" spans="2:9" ht="26.4">
      <c r="B1850" s="205" t="s">
        <v>334</v>
      </c>
      <c r="C1850" s="563" t="s">
        <v>809</v>
      </c>
      <c r="D1850" s="564"/>
      <c r="E1850" s="565"/>
      <c r="F1850" s="565"/>
      <c r="G1850" s="565"/>
      <c r="H1850" s="565"/>
      <c r="I1850" s="566"/>
    </row>
    <row r="1851" spans="2:9" ht="24">
      <c r="B1851" s="204" t="s">
        <v>0</v>
      </c>
      <c r="C1851" s="404" t="s">
        <v>210</v>
      </c>
      <c r="D1851" s="404" t="s">
        <v>333</v>
      </c>
      <c r="E1851" s="405" t="s">
        <v>203</v>
      </c>
      <c r="F1851" s="310" t="s">
        <v>204</v>
      </c>
      <c r="G1851" s="405" t="s">
        <v>1</v>
      </c>
      <c r="H1851" s="41" t="s">
        <v>111</v>
      </c>
      <c r="I1851" s="406" t="s">
        <v>112</v>
      </c>
    </row>
    <row r="1852" spans="2:9" ht="13.2">
      <c r="B1852" s="367" t="s">
        <v>439</v>
      </c>
      <c r="C1852" s="375" t="s">
        <v>440</v>
      </c>
      <c r="D1852" s="374"/>
      <c r="E1852" s="376" t="s">
        <v>441</v>
      </c>
      <c r="F1852" s="377"/>
      <c r="G1852" s="411"/>
      <c r="H1852" s="397"/>
      <c r="I1852" s="380"/>
    </row>
    <row r="1853" spans="2:9" ht="24">
      <c r="B1853" s="367"/>
      <c r="C1853" s="71"/>
      <c r="D1853" s="72"/>
      <c r="E1853" s="73" t="s">
        <v>241</v>
      </c>
      <c r="F1853" s="30"/>
      <c r="G1853" s="222"/>
      <c r="H1853" s="44"/>
      <c r="I1853" s="36"/>
    </row>
    <row r="1854" spans="2:9" ht="22.8">
      <c r="B1854" s="368" t="s">
        <v>249</v>
      </c>
      <c r="C1854" s="66"/>
      <c r="D1854" s="66"/>
      <c r="E1854" s="67" t="s">
        <v>160</v>
      </c>
      <c r="F1854" s="62" t="s">
        <v>17</v>
      </c>
      <c r="G1854" s="225">
        <v>35</v>
      </c>
      <c r="H1854" s="277">
        <f>L1854*$K$5</f>
        <v>0</v>
      </c>
      <c r="I1854" s="278">
        <f t="shared" ref="I1854" si="182">ROUND($G1854*H1854,2)</f>
        <v>0</v>
      </c>
    </row>
    <row r="1855" spans="2:9" ht="13.2">
      <c r="B1855" s="367" t="s">
        <v>250</v>
      </c>
      <c r="C1855" s="375" t="s">
        <v>172</v>
      </c>
      <c r="D1855" s="374"/>
      <c r="E1855" s="376" t="s">
        <v>20</v>
      </c>
      <c r="F1855" s="377"/>
      <c r="G1855" s="411"/>
      <c r="H1855" s="397"/>
      <c r="I1855" s="380"/>
    </row>
    <row r="1856" spans="2:9" ht="24">
      <c r="B1856" s="367"/>
      <c r="C1856" s="71"/>
      <c r="D1856" s="72"/>
      <c r="E1856" s="73" t="s">
        <v>241</v>
      </c>
      <c r="F1856" s="30"/>
      <c r="G1856" s="222"/>
      <c r="H1856" s="44"/>
      <c r="I1856" s="36"/>
    </row>
    <row r="1857" spans="2:9" ht="12">
      <c r="B1857" s="367" t="s">
        <v>251</v>
      </c>
      <c r="C1857" s="74" t="s">
        <v>173</v>
      </c>
      <c r="D1857" s="75"/>
      <c r="E1857" s="76" t="s">
        <v>115</v>
      </c>
      <c r="F1857" s="62" t="s">
        <v>13</v>
      </c>
      <c r="G1857" s="63" t="s">
        <v>13</v>
      </c>
      <c r="H1857" s="276" t="s">
        <v>13</v>
      </c>
      <c r="I1857" s="269" t="s">
        <v>13</v>
      </c>
    </row>
    <row r="1858" spans="2:9">
      <c r="B1858" s="369"/>
      <c r="C1858" s="77"/>
      <c r="D1858" s="78"/>
      <c r="E1858" s="79" t="s">
        <v>117</v>
      </c>
      <c r="F1858" s="62" t="s">
        <v>13</v>
      </c>
      <c r="G1858" s="63" t="s">
        <v>13</v>
      </c>
      <c r="H1858" s="276" t="s">
        <v>13</v>
      </c>
      <c r="I1858" s="269" t="s">
        <v>13</v>
      </c>
    </row>
    <row r="1859" spans="2:9" ht="13.2">
      <c r="B1859" s="368" t="s">
        <v>252</v>
      </c>
      <c r="C1859" s="66"/>
      <c r="D1859" s="82"/>
      <c r="E1859" s="80" t="s">
        <v>365</v>
      </c>
      <c r="F1859" s="81" t="s">
        <v>23</v>
      </c>
      <c r="G1859" s="225">
        <v>36306</v>
      </c>
      <c r="H1859" s="277">
        <f>L1859*$K$5</f>
        <v>0</v>
      </c>
      <c r="I1859" s="278">
        <f t="shared" ref="I1859:I1861" si="183">ROUND($G1859*H1859,2)</f>
        <v>0</v>
      </c>
    </row>
    <row r="1860" spans="2:9" ht="13.2">
      <c r="B1860" s="368" t="s">
        <v>253</v>
      </c>
      <c r="C1860" s="66"/>
      <c r="D1860" s="82"/>
      <c r="E1860" s="80" t="s">
        <v>366</v>
      </c>
      <c r="F1860" s="81" t="s">
        <v>23</v>
      </c>
      <c r="G1860" s="164">
        <v>52882</v>
      </c>
      <c r="H1860" s="277">
        <f t="shared" ref="H1860:H1861" si="184">L1860*$K$5</f>
        <v>0</v>
      </c>
      <c r="I1860" s="278">
        <f t="shared" si="183"/>
        <v>0</v>
      </c>
    </row>
    <row r="1861" spans="2:9" ht="13.2">
      <c r="B1861" s="368" t="s">
        <v>254</v>
      </c>
      <c r="C1861" s="83"/>
      <c r="D1861" s="84"/>
      <c r="E1861" s="80" t="s">
        <v>163</v>
      </c>
      <c r="F1861" s="81" t="s">
        <v>23</v>
      </c>
      <c r="G1861" s="165">
        <v>606</v>
      </c>
      <c r="H1861" s="277">
        <f t="shared" si="184"/>
        <v>0</v>
      </c>
      <c r="I1861" s="278">
        <f t="shared" si="183"/>
        <v>0</v>
      </c>
    </row>
    <row r="1862" spans="2:9" ht="12">
      <c r="B1862" s="369"/>
      <c r="C1862" s="83"/>
      <c r="D1862" s="84"/>
      <c r="E1862" s="87" t="s">
        <v>26</v>
      </c>
      <c r="F1862" s="81" t="s">
        <v>153</v>
      </c>
      <c r="G1862" s="226"/>
      <c r="H1862" s="41"/>
      <c r="I1862" s="34" t="s">
        <v>13</v>
      </c>
    </row>
    <row r="1863" spans="2:9" ht="13.2">
      <c r="B1863" s="367" t="s">
        <v>256</v>
      </c>
      <c r="C1863" s="375" t="s">
        <v>174</v>
      </c>
      <c r="D1863" s="374"/>
      <c r="E1863" s="376" t="s">
        <v>27</v>
      </c>
      <c r="F1863" s="377"/>
      <c r="G1863" s="411"/>
      <c r="H1863" s="397"/>
      <c r="I1863" s="380"/>
    </row>
    <row r="1864" spans="2:9" ht="24">
      <c r="B1864" s="367"/>
      <c r="C1864" s="71"/>
      <c r="D1864" s="72"/>
      <c r="E1864" s="73" t="s">
        <v>241</v>
      </c>
      <c r="F1864" s="30"/>
      <c r="G1864" s="222"/>
      <c r="H1864" s="44"/>
      <c r="I1864" s="36"/>
    </row>
    <row r="1865" spans="2:9" ht="12">
      <c r="B1865" s="367" t="s">
        <v>257</v>
      </c>
      <c r="C1865" s="74" t="s">
        <v>175</v>
      </c>
      <c r="D1865" s="75"/>
      <c r="E1865" s="76" t="s">
        <v>29</v>
      </c>
      <c r="F1865" s="62" t="s">
        <v>13</v>
      </c>
      <c r="G1865" s="63" t="s">
        <v>13</v>
      </c>
      <c r="H1865" s="276" t="s">
        <v>13</v>
      </c>
      <c r="I1865" s="269" t="s">
        <v>13</v>
      </c>
    </row>
    <row r="1866" spans="2:9" ht="22.8">
      <c r="B1866" s="368" t="s">
        <v>258</v>
      </c>
      <c r="C1866" s="98"/>
      <c r="D1866" s="99"/>
      <c r="E1866" s="76" t="s">
        <v>367</v>
      </c>
      <c r="F1866" s="62" t="s">
        <v>17</v>
      </c>
      <c r="G1866" s="225">
        <v>284</v>
      </c>
      <c r="H1866" s="277">
        <f>L1866*$K$5</f>
        <v>0</v>
      </c>
      <c r="I1866" s="278">
        <f>ROUND($G1866*H1866,2)</f>
        <v>0</v>
      </c>
    </row>
    <row r="1867" spans="2:9" ht="13.2">
      <c r="B1867" s="367" t="s">
        <v>259</v>
      </c>
      <c r="C1867" s="66" t="s">
        <v>176</v>
      </c>
      <c r="D1867" s="66"/>
      <c r="E1867" s="90" t="s">
        <v>31</v>
      </c>
      <c r="F1867" s="81" t="s">
        <v>13</v>
      </c>
      <c r="G1867" s="228" t="s">
        <v>13</v>
      </c>
      <c r="H1867" s="277" t="s">
        <v>13</v>
      </c>
      <c r="I1867" s="269" t="s">
        <v>13</v>
      </c>
    </row>
    <row r="1868" spans="2:9" ht="13.2">
      <c r="B1868" s="368" t="s">
        <v>260</v>
      </c>
      <c r="C1868" s="66"/>
      <c r="D1868" s="66"/>
      <c r="E1868" s="67" t="s">
        <v>165</v>
      </c>
      <c r="F1868" s="62" t="s">
        <v>17</v>
      </c>
      <c r="G1868" s="225">
        <v>25</v>
      </c>
      <c r="H1868" s="277">
        <f t="shared" ref="H1868:H1875" si="185">L1868*$K$5</f>
        <v>0</v>
      </c>
      <c r="I1868" s="278">
        <f t="shared" ref="I1868:I1869" si="186">ROUND($G1868*H1868,2)</f>
        <v>0</v>
      </c>
    </row>
    <row r="1869" spans="2:9" ht="22.8">
      <c r="B1869" s="368" t="s">
        <v>369</v>
      </c>
      <c r="C1869" s="83"/>
      <c r="D1869" s="83"/>
      <c r="E1869" s="67" t="s">
        <v>370</v>
      </c>
      <c r="F1869" s="62" t="s">
        <v>17</v>
      </c>
      <c r="G1869" s="225">
        <v>1</v>
      </c>
      <c r="H1869" s="277">
        <f t="shared" si="185"/>
        <v>0</v>
      </c>
      <c r="I1869" s="278">
        <f t="shared" si="186"/>
        <v>0</v>
      </c>
    </row>
    <row r="1870" spans="2:9" ht="13.2">
      <c r="B1870" s="367" t="s">
        <v>261</v>
      </c>
      <c r="C1870" s="66" t="s">
        <v>177</v>
      </c>
      <c r="D1870" s="66"/>
      <c r="E1870" s="90" t="s">
        <v>129</v>
      </c>
      <c r="F1870" s="81" t="s">
        <v>13</v>
      </c>
      <c r="G1870" s="228" t="s">
        <v>13</v>
      </c>
      <c r="H1870" s="277" t="s">
        <v>13</v>
      </c>
      <c r="I1870" s="48" t="s">
        <v>13</v>
      </c>
    </row>
    <row r="1871" spans="2:9" ht="13.2">
      <c r="B1871" s="368" t="s">
        <v>262</v>
      </c>
      <c r="C1871" s="66"/>
      <c r="D1871" s="66"/>
      <c r="E1871" s="67" t="s">
        <v>371</v>
      </c>
      <c r="F1871" s="62" t="s">
        <v>17</v>
      </c>
      <c r="G1871" s="225">
        <v>424</v>
      </c>
      <c r="H1871" s="277">
        <f t="shared" si="185"/>
        <v>0</v>
      </c>
      <c r="I1871" s="278">
        <f>ROUND($G1871*H1871,2)</f>
        <v>0</v>
      </c>
    </row>
    <row r="1872" spans="2:9" ht="13.2">
      <c r="B1872" s="369"/>
      <c r="C1872" s="62"/>
      <c r="D1872" s="95"/>
      <c r="E1872" s="87" t="s">
        <v>39</v>
      </c>
      <c r="F1872" s="62" t="s">
        <v>153</v>
      </c>
      <c r="G1872" s="96"/>
      <c r="H1872"/>
      <c r="I1872" s="34" t="s">
        <v>13</v>
      </c>
    </row>
    <row r="1873" spans="2:10" ht="13.2">
      <c r="B1873" s="367" t="s">
        <v>263</v>
      </c>
      <c r="C1873" s="74" t="s">
        <v>181</v>
      </c>
      <c r="D1873" s="75"/>
      <c r="E1873" s="97" t="s">
        <v>139</v>
      </c>
      <c r="F1873" s="62" t="s">
        <v>13</v>
      </c>
      <c r="G1873" s="63" t="s">
        <v>13</v>
      </c>
      <c r="H1873" s="277" t="s">
        <v>13</v>
      </c>
      <c r="I1873" s="269" t="s">
        <v>13</v>
      </c>
    </row>
    <row r="1874" spans="2:10" ht="22.8">
      <c r="B1874" s="368" t="s">
        <v>264</v>
      </c>
      <c r="C1874" s="98"/>
      <c r="D1874" s="99"/>
      <c r="E1874" s="100" t="s">
        <v>140</v>
      </c>
      <c r="F1874" s="62" t="s">
        <v>17</v>
      </c>
      <c r="G1874" s="225">
        <v>32</v>
      </c>
      <c r="H1874" s="277">
        <f t="shared" si="185"/>
        <v>0</v>
      </c>
      <c r="I1874" s="278">
        <f t="shared" ref="I1874:I1875" si="187">ROUND($G1874*H1874,2)</f>
        <v>0</v>
      </c>
    </row>
    <row r="1875" spans="2:10" ht="22.8">
      <c r="B1875" s="368" t="s">
        <v>372</v>
      </c>
      <c r="C1875" s="103"/>
      <c r="D1875" s="104"/>
      <c r="E1875" s="100" t="s">
        <v>141</v>
      </c>
      <c r="F1875" s="62" t="s">
        <v>17</v>
      </c>
      <c r="G1875" s="225">
        <v>5</v>
      </c>
      <c r="H1875" s="277">
        <f t="shared" si="185"/>
        <v>0</v>
      </c>
      <c r="I1875" s="278">
        <f t="shared" si="187"/>
        <v>0</v>
      </c>
    </row>
    <row r="1876" spans="2:10" ht="12">
      <c r="B1876" s="369"/>
      <c r="C1876" s="101"/>
      <c r="D1876" s="102"/>
      <c r="E1876" s="87" t="s">
        <v>43</v>
      </c>
      <c r="F1876" s="62" t="s">
        <v>153</v>
      </c>
      <c r="G1876" s="229"/>
      <c r="H1876" s="41"/>
      <c r="I1876" s="34" t="s">
        <v>13</v>
      </c>
    </row>
    <row r="1877" spans="2:10" ht="13.2">
      <c r="B1877" s="367" t="s">
        <v>272</v>
      </c>
      <c r="C1877" s="375" t="s">
        <v>200</v>
      </c>
      <c r="D1877" s="374"/>
      <c r="E1877" s="376" t="s">
        <v>44</v>
      </c>
      <c r="F1877" s="377"/>
      <c r="G1877" s="414"/>
      <c r="H1877" s="397"/>
      <c r="I1877" s="380"/>
    </row>
    <row r="1878" spans="2:10" ht="22.8">
      <c r="B1878" s="368" t="s">
        <v>374</v>
      </c>
      <c r="C1878" s="106"/>
      <c r="D1878" s="106"/>
      <c r="E1878" s="67" t="s">
        <v>159</v>
      </c>
      <c r="F1878" s="62" t="s">
        <v>23</v>
      </c>
      <c r="G1878" s="225">
        <v>11250</v>
      </c>
      <c r="H1878" s="277">
        <f>L1878*$K$5</f>
        <v>0</v>
      </c>
      <c r="I1878" s="278">
        <f t="shared" ref="I1878:I1879" si="188">ROUND($G1878*H1878,2)</f>
        <v>0</v>
      </c>
    </row>
    <row r="1879" spans="2:10" ht="22.8">
      <c r="B1879" s="368" t="s">
        <v>376</v>
      </c>
      <c r="C1879" s="106"/>
      <c r="D1879" s="106"/>
      <c r="E1879" s="279" t="s">
        <v>617</v>
      </c>
      <c r="F1879" s="62" t="s">
        <v>4</v>
      </c>
      <c r="G1879" s="225">
        <v>3.2</v>
      </c>
      <c r="H1879" s="277">
        <f>L1879*$K$5</f>
        <v>0</v>
      </c>
      <c r="I1879" s="278">
        <f t="shared" si="188"/>
        <v>0</v>
      </c>
    </row>
    <row r="1880" spans="2:10" ht="22.8">
      <c r="B1880" s="368" t="s">
        <v>519</v>
      </c>
      <c r="C1880" s="74" t="s">
        <v>355</v>
      </c>
      <c r="D1880" s="74"/>
      <c r="E1880" s="110" t="s">
        <v>357</v>
      </c>
      <c r="F1880" s="170" t="s">
        <v>13</v>
      </c>
      <c r="G1880" s="251" t="s">
        <v>13</v>
      </c>
      <c r="H1880" s="277" t="s">
        <v>13</v>
      </c>
      <c r="I1880" s="48" t="s">
        <v>13</v>
      </c>
    </row>
    <row r="1881" spans="2:10" ht="22.8">
      <c r="B1881" s="368" t="s">
        <v>351</v>
      </c>
      <c r="C1881" s="206"/>
      <c r="D1881" s="206"/>
      <c r="E1881" s="90" t="s">
        <v>154</v>
      </c>
      <c r="F1881" s="109" t="s">
        <v>15</v>
      </c>
      <c r="G1881" s="225">
        <v>140</v>
      </c>
      <c r="H1881" s="277">
        <f t="shared" ref="H1881" si="189">L1881*$K$5</f>
        <v>0</v>
      </c>
      <c r="I1881" s="278">
        <f>ROUND($G1881*H1881,2)</f>
        <v>0</v>
      </c>
    </row>
    <row r="1882" spans="2:10" ht="13.2">
      <c r="B1882" s="367" t="s">
        <v>547</v>
      </c>
      <c r="C1882" s="74" t="s">
        <v>427</v>
      </c>
      <c r="D1882" s="74"/>
      <c r="E1882" s="90" t="s">
        <v>350</v>
      </c>
      <c r="F1882" s="109" t="s">
        <v>13</v>
      </c>
      <c r="G1882" s="228" t="s">
        <v>13</v>
      </c>
      <c r="H1882" s="277" t="s">
        <v>13</v>
      </c>
      <c r="I1882" s="269" t="s">
        <v>13</v>
      </c>
    </row>
    <row r="1883" spans="2:10" ht="12">
      <c r="B1883" s="369"/>
      <c r="C1883" s="12"/>
      <c r="D1883" s="25"/>
      <c r="E1883" s="87" t="s">
        <v>46</v>
      </c>
      <c r="F1883" s="13" t="s">
        <v>153</v>
      </c>
      <c r="G1883" s="96"/>
      <c r="H1883" s="41"/>
      <c r="I1883" s="34" t="s">
        <v>13</v>
      </c>
    </row>
    <row r="1884" spans="2:10" ht="13.2">
      <c r="B1884" s="367" t="s">
        <v>275</v>
      </c>
      <c r="C1884" s="375" t="s">
        <v>201</v>
      </c>
      <c r="D1884" s="374"/>
      <c r="E1884" s="407" t="s">
        <v>380</v>
      </c>
      <c r="F1884" s="377"/>
      <c r="G1884" s="411"/>
      <c r="H1884" s="397"/>
      <c r="I1884" s="380"/>
      <c r="J1884" s="440"/>
    </row>
    <row r="1885" spans="2:10" ht="24">
      <c r="B1885" s="367"/>
      <c r="C1885" s="71"/>
      <c r="D1885" s="72"/>
      <c r="E1885" s="73" t="s">
        <v>241</v>
      </c>
      <c r="F1885" s="30"/>
      <c r="G1885" s="222"/>
      <c r="H1885" s="44"/>
      <c r="I1885" s="36"/>
    </row>
    <row r="1886" spans="2:10" ht="12">
      <c r="B1886" s="367" t="s">
        <v>276</v>
      </c>
      <c r="C1886" s="60" t="s">
        <v>182</v>
      </c>
      <c r="D1886" s="60"/>
      <c r="E1886" s="90" t="s">
        <v>49</v>
      </c>
      <c r="F1886" s="62" t="s">
        <v>13</v>
      </c>
      <c r="G1886" s="63" t="s">
        <v>13</v>
      </c>
      <c r="H1886" s="276" t="s">
        <v>13</v>
      </c>
      <c r="I1886" s="269" t="s">
        <v>13</v>
      </c>
    </row>
    <row r="1887" spans="2:10" ht="34.200000000000003">
      <c r="B1887" s="368" t="s">
        <v>277</v>
      </c>
      <c r="C1887" s="66"/>
      <c r="D1887" s="66"/>
      <c r="E1887" s="110" t="s">
        <v>207</v>
      </c>
      <c r="F1887" s="62" t="s">
        <v>15</v>
      </c>
      <c r="G1887" s="225">
        <v>905</v>
      </c>
      <c r="H1887" s="277">
        <f>L1887*$K$5</f>
        <v>0</v>
      </c>
      <c r="I1887" s="278">
        <f>ROUND($G1887*H1887,2)</f>
        <v>0</v>
      </c>
    </row>
    <row r="1888" spans="2:10" ht="45.6">
      <c r="B1888" s="368" t="s">
        <v>278</v>
      </c>
      <c r="C1888" s="83"/>
      <c r="D1888" s="83"/>
      <c r="E1888" s="92" t="s">
        <v>149</v>
      </c>
      <c r="F1888" s="62" t="s">
        <v>15</v>
      </c>
      <c r="G1888" s="225">
        <v>15</v>
      </c>
      <c r="H1888" s="277">
        <f t="shared" ref="H1888:H1894" si="190">L1888*$K$5</f>
        <v>0</v>
      </c>
      <c r="I1888" s="278">
        <f>ROUND($G1888*H1888,2)</f>
        <v>0</v>
      </c>
    </row>
    <row r="1889" spans="2:9" ht="13.2">
      <c r="B1889" s="367" t="s">
        <v>279</v>
      </c>
      <c r="C1889" s="74" t="s">
        <v>168</v>
      </c>
      <c r="D1889" s="74"/>
      <c r="E1889" s="90" t="s">
        <v>155</v>
      </c>
      <c r="F1889" s="81" t="s">
        <v>13</v>
      </c>
      <c r="G1889" s="228" t="s">
        <v>13</v>
      </c>
      <c r="H1889" s="277" t="s">
        <v>13</v>
      </c>
      <c r="I1889" s="269" t="s">
        <v>13</v>
      </c>
    </row>
    <row r="1890" spans="2:9" ht="22.8">
      <c r="B1890" s="368" t="s">
        <v>280</v>
      </c>
      <c r="C1890" s="103"/>
      <c r="D1890" s="103"/>
      <c r="E1890" s="110" t="s">
        <v>502</v>
      </c>
      <c r="F1890" s="62" t="s">
        <v>15</v>
      </c>
      <c r="G1890" s="225">
        <v>130</v>
      </c>
      <c r="H1890" s="277">
        <f t="shared" si="190"/>
        <v>0</v>
      </c>
      <c r="I1890" s="278">
        <f>ROUND($G1890*H1890,2)</f>
        <v>0</v>
      </c>
    </row>
    <row r="1891" spans="2:9" ht="13.2">
      <c r="B1891" s="367" t="s">
        <v>282</v>
      </c>
      <c r="C1891" s="74" t="s">
        <v>184</v>
      </c>
      <c r="D1891" s="74"/>
      <c r="E1891" s="90" t="s">
        <v>121</v>
      </c>
      <c r="F1891" s="81" t="s">
        <v>13</v>
      </c>
      <c r="G1891" s="228" t="s">
        <v>13</v>
      </c>
      <c r="H1891" s="277" t="s">
        <v>13</v>
      </c>
      <c r="I1891" s="48" t="s">
        <v>13</v>
      </c>
    </row>
    <row r="1892" spans="2:9" ht="22.8">
      <c r="B1892" s="368" t="s">
        <v>283</v>
      </c>
      <c r="C1892" s="98"/>
      <c r="D1892" s="98"/>
      <c r="E1892" s="111" t="s">
        <v>122</v>
      </c>
      <c r="F1892" s="83" t="s">
        <v>15</v>
      </c>
      <c r="G1892" s="225">
        <v>535</v>
      </c>
      <c r="H1892" s="277">
        <f t="shared" si="190"/>
        <v>0</v>
      </c>
      <c r="I1892" s="278">
        <f>ROUND($G1892*H1892,2)</f>
        <v>0</v>
      </c>
    </row>
    <row r="1893" spans="2:9" ht="13.2">
      <c r="B1893" s="367" t="s">
        <v>284</v>
      </c>
      <c r="C1893" s="74" t="s">
        <v>185</v>
      </c>
      <c r="D1893" s="74"/>
      <c r="E1893" s="90" t="s">
        <v>151</v>
      </c>
      <c r="F1893" s="81" t="s">
        <v>13</v>
      </c>
      <c r="G1893" s="228" t="s">
        <v>13</v>
      </c>
      <c r="H1893" s="277" t="s">
        <v>13</v>
      </c>
      <c r="I1893" s="269" t="s">
        <v>13</v>
      </c>
    </row>
    <row r="1894" spans="2:9" ht="22.8">
      <c r="B1894" s="368" t="s">
        <v>285</v>
      </c>
      <c r="C1894" s="98"/>
      <c r="D1894" s="98"/>
      <c r="E1894" s="90" t="s">
        <v>152</v>
      </c>
      <c r="F1894" s="83" t="s">
        <v>15</v>
      </c>
      <c r="G1894" s="225">
        <v>140</v>
      </c>
      <c r="H1894" s="277">
        <f t="shared" si="190"/>
        <v>0</v>
      </c>
      <c r="I1894" s="278">
        <f>ROUND($G1894*H1894,2)</f>
        <v>0</v>
      </c>
    </row>
    <row r="1895" spans="2:9" ht="12">
      <c r="B1895" s="369"/>
      <c r="C1895" s="12"/>
      <c r="D1895" s="25"/>
      <c r="E1895" s="87" t="s">
        <v>58</v>
      </c>
      <c r="F1895" s="13" t="s">
        <v>153</v>
      </c>
      <c r="G1895" s="96"/>
      <c r="H1895" s="41"/>
      <c r="I1895" s="34" t="s">
        <v>13</v>
      </c>
    </row>
    <row r="1896" spans="2:9" ht="13.2">
      <c r="B1896" s="367" t="s">
        <v>288</v>
      </c>
      <c r="C1896" s="385" t="s">
        <v>186</v>
      </c>
      <c r="D1896" s="386"/>
      <c r="E1896" s="387" t="s">
        <v>81</v>
      </c>
      <c r="F1896" s="388"/>
      <c r="G1896" s="411"/>
      <c r="H1896" s="437"/>
      <c r="I1896" s="380"/>
    </row>
    <row r="1897" spans="2:9" ht="24">
      <c r="B1897" s="367"/>
      <c r="C1897" s="71"/>
      <c r="D1897" s="72"/>
      <c r="E1897" s="73" t="s">
        <v>241</v>
      </c>
      <c r="F1897" s="30"/>
      <c r="G1897" s="231"/>
      <c r="H1897" s="44"/>
      <c r="I1897" s="271"/>
    </row>
    <row r="1898" spans="2:9" ht="12">
      <c r="B1898" s="367" t="s">
        <v>289</v>
      </c>
      <c r="C1898" s="74" t="s">
        <v>381</v>
      </c>
      <c r="D1898" s="91"/>
      <c r="E1898" s="172" t="s">
        <v>382</v>
      </c>
      <c r="F1898" s="62" t="s">
        <v>13</v>
      </c>
      <c r="G1898" s="233" t="s">
        <v>13</v>
      </c>
      <c r="H1898" s="276" t="s">
        <v>13</v>
      </c>
      <c r="I1898" s="269" t="s">
        <v>13</v>
      </c>
    </row>
    <row r="1899" spans="2:9" ht="22.8">
      <c r="B1899" s="368" t="s">
        <v>290</v>
      </c>
      <c r="C1899" s="173"/>
      <c r="D1899" s="173"/>
      <c r="E1899" s="67" t="s">
        <v>383</v>
      </c>
      <c r="F1899" s="62" t="s">
        <v>3</v>
      </c>
      <c r="G1899" s="225">
        <v>15</v>
      </c>
      <c r="H1899" s="277">
        <f>L1899*$K$5</f>
        <v>0</v>
      </c>
      <c r="I1899" s="278">
        <f>ROUND($G1899*H1899,2)</f>
        <v>0</v>
      </c>
    </row>
    <row r="1900" spans="2:9" ht="13.2">
      <c r="B1900" s="367" t="s">
        <v>384</v>
      </c>
      <c r="C1900" s="74" t="s">
        <v>187</v>
      </c>
      <c r="D1900" s="74"/>
      <c r="E1900" s="61" t="s">
        <v>360</v>
      </c>
      <c r="F1900" s="62" t="s">
        <v>13</v>
      </c>
      <c r="G1900" s="233" t="s">
        <v>13</v>
      </c>
      <c r="H1900" s="277" t="s">
        <v>13</v>
      </c>
      <c r="I1900" s="269" t="s">
        <v>13</v>
      </c>
    </row>
    <row r="1901" spans="2:9" ht="22.8">
      <c r="B1901" s="368" t="s">
        <v>385</v>
      </c>
      <c r="C1901" s="115"/>
      <c r="D1901" s="115"/>
      <c r="E1901" s="67" t="s">
        <v>612</v>
      </c>
      <c r="F1901" s="62" t="s">
        <v>4</v>
      </c>
      <c r="G1901" s="225">
        <v>73</v>
      </c>
      <c r="H1901" s="277">
        <f t="shared" ref="H1901" si="191">L1901*$K$5</f>
        <v>0</v>
      </c>
      <c r="I1901" s="278">
        <f>ROUND($G1901*H1901,2)</f>
        <v>0</v>
      </c>
    </row>
    <row r="1902" spans="2:9" ht="12">
      <c r="B1902" s="369"/>
      <c r="C1902" s="73"/>
      <c r="D1902" s="118"/>
      <c r="E1902" s="112" t="s">
        <v>85</v>
      </c>
      <c r="F1902" s="13" t="s">
        <v>153</v>
      </c>
      <c r="G1902" s="119"/>
      <c r="H1902" s="41"/>
      <c r="I1902" s="34" t="s">
        <v>13</v>
      </c>
    </row>
    <row r="1903" spans="2:9" ht="13.2">
      <c r="B1903" s="367" t="s">
        <v>390</v>
      </c>
      <c r="C1903" s="385" t="s">
        <v>391</v>
      </c>
      <c r="D1903" s="386"/>
      <c r="E1903" s="387" t="s">
        <v>392</v>
      </c>
      <c r="F1903" s="388"/>
      <c r="G1903" s="414"/>
      <c r="H1903" s="437"/>
      <c r="I1903" s="380"/>
    </row>
    <row r="1904" spans="2:9" ht="24">
      <c r="B1904" s="367"/>
      <c r="C1904" s="71"/>
      <c r="D1904" s="72"/>
      <c r="E1904" s="73" t="s">
        <v>241</v>
      </c>
      <c r="F1904" s="30"/>
      <c r="G1904" s="230"/>
      <c r="H1904" s="44"/>
      <c r="I1904" s="36"/>
    </row>
    <row r="1905" spans="2:9" ht="12">
      <c r="B1905" s="367" t="s">
        <v>634</v>
      </c>
      <c r="C1905" s="74" t="s">
        <v>635</v>
      </c>
      <c r="D1905" s="75"/>
      <c r="E1905" s="122" t="s">
        <v>636</v>
      </c>
      <c r="F1905" s="62" t="s">
        <v>13</v>
      </c>
      <c r="G1905" s="63" t="s">
        <v>13</v>
      </c>
      <c r="H1905" s="276" t="s">
        <v>13</v>
      </c>
      <c r="I1905" s="269" t="s">
        <v>13</v>
      </c>
    </row>
    <row r="1906" spans="2:9">
      <c r="B1906" s="369"/>
      <c r="C1906" s="98"/>
      <c r="D1906" s="99"/>
      <c r="E1906" s="122" t="s">
        <v>397</v>
      </c>
      <c r="F1906" s="62" t="s">
        <v>13</v>
      </c>
      <c r="G1906" s="63" t="s">
        <v>13</v>
      </c>
      <c r="H1906" s="276" t="s">
        <v>13</v>
      </c>
      <c r="I1906" s="269" t="s">
        <v>13</v>
      </c>
    </row>
    <row r="1907" spans="2:9" ht="13.2">
      <c r="B1907" s="368" t="s">
        <v>637</v>
      </c>
      <c r="C1907" s="103"/>
      <c r="D1907" s="104"/>
      <c r="E1907" s="80" t="s">
        <v>638</v>
      </c>
      <c r="F1907" s="62" t="s">
        <v>3</v>
      </c>
      <c r="G1907" s="225">
        <v>1</v>
      </c>
      <c r="H1907" s="277">
        <f>L1907*$K$5</f>
        <v>0</v>
      </c>
      <c r="I1907" s="278">
        <f t="shared" ref="I1907:I1909" si="192">ROUND($G1907*H1907,2)</f>
        <v>0</v>
      </c>
    </row>
    <row r="1908" spans="2:9" ht="13.2">
      <c r="B1908" s="368" t="s">
        <v>639</v>
      </c>
      <c r="C1908" s="103"/>
      <c r="D1908" s="104"/>
      <c r="E1908" s="80" t="s">
        <v>640</v>
      </c>
      <c r="F1908" s="62" t="s">
        <v>3</v>
      </c>
      <c r="G1908" s="225">
        <v>2</v>
      </c>
      <c r="H1908" s="277">
        <f t="shared" ref="H1908:H1909" si="193">L1908*$K$5</f>
        <v>0</v>
      </c>
      <c r="I1908" s="278">
        <f t="shared" si="192"/>
        <v>0</v>
      </c>
    </row>
    <row r="1909" spans="2:9" ht="13.2">
      <c r="B1909" s="368" t="s">
        <v>641</v>
      </c>
      <c r="C1909" s="101"/>
      <c r="D1909" s="102"/>
      <c r="E1909" s="80" t="s">
        <v>642</v>
      </c>
      <c r="F1909" s="62" t="s">
        <v>3</v>
      </c>
      <c r="G1909" s="225">
        <v>1</v>
      </c>
      <c r="H1909" s="277">
        <f t="shared" si="193"/>
        <v>0</v>
      </c>
      <c r="I1909" s="278">
        <f t="shared" si="192"/>
        <v>0</v>
      </c>
    </row>
    <row r="1910" spans="2:9" ht="12">
      <c r="B1910" s="369"/>
      <c r="C1910" s="12"/>
      <c r="D1910" s="25"/>
      <c r="E1910" s="87" t="s">
        <v>404</v>
      </c>
      <c r="F1910" s="13" t="s">
        <v>153</v>
      </c>
      <c r="G1910" s="119"/>
      <c r="H1910" s="41"/>
      <c r="I1910" s="34" t="s">
        <v>13</v>
      </c>
    </row>
    <row r="1911" spans="2:9" ht="13.2">
      <c r="B1911" s="367" t="s">
        <v>292</v>
      </c>
      <c r="C1911" s="375" t="s">
        <v>188</v>
      </c>
      <c r="D1911" s="374"/>
      <c r="E1911" s="376" t="s">
        <v>59</v>
      </c>
      <c r="F1911" s="377"/>
      <c r="G1911" s="411"/>
      <c r="H1911" s="397"/>
      <c r="I1911" s="380"/>
    </row>
    <row r="1912" spans="2:9" ht="24">
      <c r="B1912" s="367"/>
      <c r="C1912" s="71"/>
      <c r="D1912" s="72"/>
      <c r="E1912" s="73" t="s">
        <v>241</v>
      </c>
      <c r="F1912" s="30"/>
      <c r="G1912" s="222"/>
      <c r="H1912" s="44"/>
      <c r="I1912" s="36"/>
    </row>
    <row r="1913" spans="2:9" ht="12">
      <c r="B1913" s="367" t="s">
        <v>293</v>
      </c>
      <c r="C1913" s="120" t="s">
        <v>405</v>
      </c>
      <c r="D1913" s="121"/>
      <c r="E1913" s="122" t="s">
        <v>406</v>
      </c>
      <c r="F1913" s="62" t="s">
        <v>13</v>
      </c>
      <c r="G1913" s="63" t="s">
        <v>13</v>
      </c>
      <c r="H1913" s="276" t="s">
        <v>13</v>
      </c>
      <c r="I1913" s="269" t="s">
        <v>13</v>
      </c>
    </row>
    <row r="1914" spans="2:9" ht="57">
      <c r="B1914" s="368" t="s">
        <v>294</v>
      </c>
      <c r="C1914" s="123"/>
      <c r="D1914" s="124"/>
      <c r="E1914" s="80" t="s">
        <v>407</v>
      </c>
      <c r="F1914" s="81" t="s">
        <v>4</v>
      </c>
      <c r="G1914" s="225">
        <v>14</v>
      </c>
      <c r="H1914" s="277">
        <f>L1914*$K$5</f>
        <v>0</v>
      </c>
      <c r="I1914" s="278">
        <f>ROUND($G1914*H1914,2)</f>
        <v>0</v>
      </c>
    </row>
    <row r="1915" spans="2:9" ht="13.2">
      <c r="B1915" s="367" t="s">
        <v>408</v>
      </c>
      <c r="C1915" s="120" t="s">
        <v>189</v>
      </c>
      <c r="D1915" s="121"/>
      <c r="E1915" s="122" t="s">
        <v>60</v>
      </c>
      <c r="F1915" s="62" t="s">
        <v>13</v>
      </c>
      <c r="G1915" s="63" t="s">
        <v>13</v>
      </c>
      <c r="H1915" s="277" t="s">
        <v>13</v>
      </c>
      <c r="I1915" s="269" t="s">
        <v>13</v>
      </c>
    </row>
    <row r="1916" spans="2:9" ht="34.200000000000003">
      <c r="B1916" s="368" t="s">
        <v>409</v>
      </c>
      <c r="C1916" s="125"/>
      <c r="D1916" s="126"/>
      <c r="E1916" s="127" t="s">
        <v>144</v>
      </c>
      <c r="F1916" s="128" t="s">
        <v>4</v>
      </c>
      <c r="G1916" s="225">
        <v>8.1999999999999993</v>
      </c>
      <c r="H1916" s="277">
        <f t="shared" ref="H1916" si="194">L1916*$K$5</f>
        <v>0</v>
      </c>
      <c r="I1916" s="278">
        <f>ROUND($G1916*H1916,2)</f>
        <v>0</v>
      </c>
    </row>
    <row r="1917" spans="2:9" ht="13.2">
      <c r="B1917" s="367" t="s">
        <v>297</v>
      </c>
      <c r="C1917" s="375" t="s">
        <v>190</v>
      </c>
      <c r="D1917" s="374"/>
      <c r="E1917" s="376" t="s">
        <v>62</v>
      </c>
      <c r="F1917" s="377"/>
      <c r="G1917" s="411"/>
      <c r="H1917" s="397"/>
      <c r="I1917" s="380"/>
    </row>
    <row r="1918" spans="2:9" ht="24">
      <c r="B1918" s="367"/>
      <c r="C1918" s="71"/>
      <c r="D1918" s="72"/>
      <c r="E1918" s="73" t="s">
        <v>241</v>
      </c>
      <c r="F1918" s="30"/>
      <c r="G1918" s="222"/>
      <c r="H1918" s="44"/>
      <c r="I1918" s="36"/>
    </row>
    <row r="1919" spans="2:9" ht="12">
      <c r="B1919" s="367" t="s">
        <v>298</v>
      </c>
      <c r="C1919" s="60" t="s">
        <v>191</v>
      </c>
      <c r="D1919" s="60"/>
      <c r="E1919" s="90" t="s">
        <v>244</v>
      </c>
      <c r="F1919" s="62" t="s">
        <v>13</v>
      </c>
      <c r="G1919" s="63" t="s">
        <v>13</v>
      </c>
      <c r="H1919" s="276" t="s">
        <v>13</v>
      </c>
      <c r="I1919" s="269" t="s">
        <v>13</v>
      </c>
    </row>
    <row r="1920" spans="2:9" ht="22.8">
      <c r="B1920" s="368" t="s">
        <v>299</v>
      </c>
      <c r="C1920" s="66"/>
      <c r="D1920" s="66"/>
      <c r="E1920" s="133" t="s">
        <v>245</v>
      </c>
      <c r="F1920" s="132" t="s">
        <v>23</v>
      </c>
      <c r="G1920" s="225">
        <v>3122</v>
      </c>
      <c r="H1920" s="277">
        <f>L1920*$K$5</f>
        <v>0</v>
      </c>
      <c r="I1920" s="278">
        <f t="shared" ref="I1920:I1921" si="195">ROUND($G1920*H1920,2)</f>
        <v>0</v>
      </c>
    </row>
    <row r="1921" spans="2:9" ht="22.8">
      <c r="B1921" s="368" t="s">
        <v>300</v>
      </c>
      <c r="C1921" s="66"/>
      <c r="D1921" s="66"/>
      <c r="E1921" s="133" t="s">
        <v>246</v>
      </c>
      <c r="F1921" s="132" t="s">
        <v>23</v>
      </c>
      <c r="G1921" s="225">
        <v>1060</v>
      </c>
      <c r="H1921" s="277">
        <f>L1921*$K$5</f>
        <v>0</v>
      </c>
      <c r="I1921" s="278">
        <f t="shared" si="195"/>
        <v>0</v>
      </c>
    </row>
    <row r="1922" spans="2:9" ht="12">
      <c r="B1922" s="369"/>
      <c r="C1922" s="12"/>
      <c r="D1922" s="25"/>
      <c r="E1922" s="87" t="s">
        <v>63</v>
      </c>
      <c r="F1922" s="13"/>
      <c r="G1922" s="134"/>
      <c r="H1922" s="41"/>
      <c r="I1922" s="34" t="s">
        <v>13</v>
      </c>
    </row>
    <row r="1923" spans="2:9" ht="13.2">
      <c r="B1923" s="367" t="s">
        <v>301</v>
      </c>
      <c r="C1923" s="375" t="s">
        <v>192</v>
      </c>
      <c r="D1923" s="374"/>
      <c r="E1923" s="376" t="s">
        <v>64</v>
      </c>
      <c r="F1923" s="377"/>
      <c r="G1923" s="411"/>
      <c r="H1923" s="397"/>
      <c r="I1923" s="380"/>
    </row>
    <row r="1924" spans="2:9" ht="24">
      <c r="B1924" s="367"/>
      <c r="C1924" s="71"/>
      <c r="D1924" s="72"/>
      <c r="E1924" s="73" t="s">
        <v>241</v>
      </c>
      <c r="F1924" s="30"/>
      <c r="G1924" s="222"/>
      <c r="H1924" s="36"/>
      <c r="I1924" s="36"/>
    </row>
    <row r="1925" spans="2:9" ht="12">
      <c r="B1925" s="367" t="s">
        <v>302</v>
      </c>
      <c r="C1925" s="60" t="s">
        <v>193</v>
      </c>
      <c r="D1925" s="60"/>
      <c r="E1925" s="135" t="s">
        <v>66</v>
      </c>
      <c r="F1925" s="136" t="s">
        <v>13</v>
      </c>
      <c r="G1925" s="140" t="s">
        <v>13</v>
      </c>
      <c r="H1925" s="280" t="s">
        <v>13</v>
      </c>
      <c r="I1925" s="269" t="s">
        <v>13</v>
      </c>
    </row>
    <row r="1926" spans="2:9" ht="22.8">
      <c r="B1926" s="368" t="s">
        <v>303</v>
      </c>
      <c r="C1926" s="83"/>
      <c r="D1926" s="83"/>
      <c r="E1926" s="116" t="s">
        <v>158</v>
      </c>
      <c r="F1926" s="137" t="s">
        <v>16</v>
      </c>
      <c r="G1926" s="225">
        <v>136</v>
      </c>
      <c r="H1926" s="277">
        <f>L1926*$K$5</f>
        <v>0</v>
      </c>
      <c r="I1926" s="278">
        <f>ROUND($G1926*H1926,2)</f>
        <v>0</v>
      </c>
    </row>
    <row r="1927" spans="2:9" ht="13.2">
      <c r="B1927" s="367" t="s">
        <v>304</v>
      </c>
      <c r="C1927" s="74" t="s">
        <v>194</v>
      </c>
      <c r="D1927" s="74"/>
      <c r="E1927" s="135" t="s">
        <v>68</v>
      </c>
      <c r="F1927" s="136" t="s">
        <v>13</v>
      </c>
      <c r="G1927" s="140" t="s">
        <v>13</v>
      </c>
      <c r="H1927" s="277" t="s">
        <v>13</v>
      </c>
      <c r="I1927" s="269" t="s">
        <v>13</v>
      </c>
    </row>
    <row r="1928" spans="2:9" ht="34.799999999999997">
      <c r="B1928" s="368" t="s">
        <v>305</v>
      </c>
      <c r="C1928" s="98"/>
      <c r="D1928" s="98"/>
      <c r="E1928" s="116" t="s">
        <v>554</v>
      </c>
      <c r="F1928" s="136" t="s">
        <v>4</v>
      </c>
      <c r="G1928" s="225">
        <v>18</v>
      </c>
      <c r="H1928" s="277">
        <f t="shared" ref="H1928:H1949" si="196">L1928*$K$5</f>
        <v>0</v>
      </c>
      <c r="I1928" s="278">
        <f>ROUND($G1928*H1928,2)</f>
        <v>0</v>
      </c>
    </row>
    <row r="1929" spans="2:9" ht="13.2">
      <c r="B1929" s="368" t="s">
        <v>306</v>
      </c>
      <c r="C1929" s="101"/>
      <c r="D1929" s="103"/>
      <c r="E1929" s="138" t="s">
        <v>133</v>
      </c>
      <c r="F1929" s="136" t="s">
        <v>3</v>
      </c>
      <c r="G1929" s="225">
        <v>2</v>
      </c>
      <c r="H1929" s="277">
        <f t="shared" si="196"/>
        <v>0</v>
      </c>
      <c r="I1929" s="278">
        <f>ROUND($G1929*H1929,2)</f>
        <v>0</v>
      </c>
    </row>
    <row r="1930" spans="2:9" ht="13.2">
      <c r="B1930" s="367" t="s">
        <v>307</v>
      </c>
      <c r="C1930" s="74" t="s">
        <v>169</v>
      </c>
      <c r="D1930" s="75"/>
      <c r="E1930" s="122" t="s">
        <v>69</v>
      </c>
      <c r="F1930" s="62" t="s">
        <v>13</v>
      </c>
      <c r="G1930" s="63" t="s">
        <v>13</v>
      </c>
      <c r="H1930" s="277" t="s">
        <v>13</v>
      </c>
      <c r="I1930" s="269" t="s">
        <v>13</v>
      </c>
    </row>
    <row r="1931" spans="2:9" ht="34.200000000000003">
      <c r="B1931" s="368" t="s">
        <v>308</v>
      </c>
      <c r="C1931" s="98"/>
      <c r="D1931" s="99"/>
      <c r="E1931" s="80" t="s">
        <v>161</v>
      </c>
      <c r="F1931" s="81" t="s">
        <v>16</v>
      </c>
      <c r="G1931" s="225">
        <v>386</v>
      </c>
      <c r="H1931" s="277">
        <f t="shared" si="196"/>
        <v>0</v>
      </c>
      <c r="I1931" s="278">
        <f t="shared" ref="I1931:I1932" si="197">ROUND($G1931*H1931,2)</f>
        <v>0</v>
      </c>
    </row>
    <row r="1932" spans="2:9" ht="22.8">
      <c r="B1932" s="368" t="s">
        <v>309</v>
      </c>
      <c r="C1932" s="98"/>
      <c r="D1932" s="98"/>
      <c r="E1932" s="139" t="s">
        <v>142</v>
      </c>
      <c r="F1932" s="62" t="s">
        <v>4</v>
      </c>
      <c r="G1932" s="225">
        <v>228</v>
      </c>
      <c r="H1932" s="277">
        <f t="shared" si="196"/>
        <v>0</v>
      </c>
      <c r="I1932" s="278">
        <f t="shared" si="197"/>
        <v>0</v>
      </c>
    </row>
    <row r="1933" spans="2:9" ht="13.2">
      <c r="B1933" s="367" t="s">
        <v>311</v>
      </c>
      <c r="C1933" s="60" t="s">
        <v>195</v>
      </c>
      <c r="D1933" s="60"/>
      <c r="E1933" s="90" t="s">
        <v>71</v>
      </c>
      <c r="F1933" s="140" t="s">
        <v>13</v>
      </c>
      <c r="G1933" s="140" t="s">
        <v>13</v>
      </c>
      <c r="H1933" s="277" t="s">
        <v>13</v>
      </c>
      <c r="I1933" s="269" t="s">
        <v>13</v>
      </c>
    </row>
    <row r="1934" spans="2:9" ht="57">
      <c r="B1934" s="368" t="s">
        <v>312</v>
      </c>
      <c r="C1934" s="66"/>
      <c r="D1934" s="66"/>
      <c r="E1934" s="141" t="s">
        <v>127</v>
      </c>
      <c r="F1934" s="137" t="s">
        <v>16</v>
      </c>
      <c r="G1934" s="225">
        <v>392</v>
      </c>
      <c r="H1934" s="277">
        <f t="shared" si="196"/>
        <v>0</v>
      </c>
      <c r="I1934" s="278">
        <f t="shared" ref="I1934:I1935" si="198">ROUND($G1934*H1934,2)</f>
        <v>0</v>
      </c>
    </row>
    <row r="1935" spans="2:9" ht="45.6">
      <c r="B1935" s="368" t="s">
        <v>313</v>
      </c>
      <c r="C1935" s="83"/>
      <c r="D1935" s="83"/>
      <c r="E1935" s="67" t="s">
        <v>125</v>
      </c>
      <c r="F1935" s="81" t="s">
        <v>16</v>
      </c>
      <c r="G1935" s="225">
        <v>47</v>
      </c>
      <c r="H1935" s="277">
        <f t="shared" si="196"/>
        <v>0</v>
      </c>
      <c r="I1935" s="278">
        <f t="shared" si="198"/>
        <v>0</v>
      </c>
    </row>
    <row r="1936" spans="2:9" ht="13.2">
      <c r="B1936" s="367" t="s">
        <v>314</v>
      </c>
      <c r="C1936" s="60" t="s">
        <v>170</v>
      </c>
      <c r="D1936" s="60"/>
      <c r="E1936" s="61" t="s">
        <v>72</v>
      </c>
      <c r="F1936" s="81" t="s">
        <v>13</v>
      </c>
      <c r="G1936" s="260" t="s">
        <v>13</v>
      </c>
      <c r="H1936" s="277" t="s">
        <v>13</v>
      </c>
      <c r="I1936" s="269" t="s">
        <v>13</v>
      </c>
    </row>
    <row r="1937" spans="2:9" ht="34.200000000000003">
      <c r="B1937" s="368" t="s">
        <v>315</v>
      </c>
      <c r="C1937" s="66"/>
      <c r="D1937" s="66"/>
      <c r="E1937" s="144" t="s">
        <v>148</v>
      </c>
      <c r="F1937" s="81" t="s">
        <v>4</v>
      </c>
      <c r="G1937" s="225">
        <v>32</v>
      </c>
      <c r="H1937" s="277">
        <f>L1937*$K$5</f>
        <v>0</v>
      </c>
      <c r="I1937" s="278">
        <f>ROUND($G1937*H1937,2)</f>
        <v>0</v>
      </c>
    </row>
    <row r="1938" spans="2:9" ht="22.8">
      <c r="B1938" s="367" t="s">
        <v>316</v>
      </c>
      <c r="C1938" s="60" t="s">
        <v>196</v>
      </c>
      <c r="D1938" s="60"/>
      <c r="E1938" s="145" t="s">
        <v>131</v>
      </c>
      <c r="F1938" s="146" t="s">
        <v>13</v>
      </c>
      <c r="G1938" s="245" t="s">
        <v>13</v>
      </c>
      <c r="H1938" s="277" t="s">
        <v>13</v>
      </c>
      <c r="I1938" s="269" t="s">
        <v>13</v>
      </c>
    </row>
    <row r="1939" spans="2:9" ht="34.200000000000003">
      <c r="B1939" s="368" t="s">
        <v>317</v>
      </c>
      <c r="C1939" s="66"/>
      <c r="D1939" s="66"/>
      <c r="E1939" s="147" t="s">
        <v>574</v>
      </c>
      <c r="F1939" s="146" t="s">
        <v>4</v>
      </c>
      <c r="G1939" s="225">
        <v>29</v>
      </c>
      <c r="H1939" s="277">
        <f t="shared" si="196"/>
        <v>0</v>
      </c>
      <c r="I1939" s="278">
        <f>ROUND($G1939*H1939,2)</f>
        <v>0</v>
      </c>
    </row>
    <row r="1940" spans="2:9" ht="15.6">
      <c r="B1940" s="368" t="s">
        <v>318</v>
      </c>
      <c r="C1940" s="66"/>
      <c r="D1940" s="66"/>
      <c r="E1940" s="147" t="s">
        <v>145</v>
      </c>
      <c r="F1940" s="146" t="s">
        <v>76</v>
      </c>
      <c r="G1940" s="225">
        <v>2</v>
      </c>
      <c r="H1940" s="277">
        <f>L1940*$K$5</f>
        <v>0</v>
      </c>
      <c r="I1940" s="278">
        <f>ROUND($G1940*H1940,2)</f>
        <v>0</v>
      </c>
    </row>
    <row r="1941" spans="2:9" ht="22.8">
      <c r="B1941" s="367" t="s">
        <v>320</v>
      </c>
      <c r="C1941" s="74" t="s">
        <v>197</v>
      </c>
      <c r="D1941" s="74"/>
      <c r="E1941" s="148" t="s">
        <v>73</v>
      </c>
      <c r="F1941" s="81" t="s">
        <v>13</v>
      </c>
      <c r="G1941" s="228" t="s">
        <v>13</v>
      </c>
      <c r="H1941" s="277" t="s">
        <v>13</v>
      </c>
      <c r="I1941" s="269" t="s">
        <v>13</v>
      </c>
    </row>
    <row r="1942" spans="2:9" ht="13.2">
      <c r="B1942" s="368" t="s">
        <v>321</v>
      </c>
      <c r="C1942" s="98"/>
      <c r="D1942" s="98"/>
      <c r="E1942" s="149" t="s">
        <v>74</v>
      </c>
      <c r="F1942" s="136" t="s">
        <v>3</v>
      </c>
      <c r="G1942" s="225">
        <v>2</v>
      </c>
      <c r="H1942" s="277">
        <f t="shared" si="196"/>
        <v>0</v>
      </c>
      <c r="I1942" s="278">
        <f t="shared" ref="I1942:I1943" si="199">ROUND($G1942*H1942,2)</f>
        <v>0</v>
      </c>
    </row>
    <row r="1943" spans="2:9" ht="22.8">
      <c r="B1943" s="368" t="s">
        <v>322</v>
      </c>
      <c r="C1943" s="101"/>
      <c r="D1943" s="101"/>
      <c r="E1943" s="150" t="s">
        <v>128</v>
      </c>
      <c r="F1943" s="151" t="s">
        <v>3</v>
      </c>
      <c r="G1943" s="225">
        <v>16</v>
      </c>
      <c r="H1943" s="277">
        <f t="shared" si="196"/>
        <v>0</v>
      </c>
      <c r="I1943" s="278">
        <f t="shared" si="199"/>
        <v>0</v>
      </c>
    </row>
    <row r="1944" spans="2:9" ht="13.2">
      <c r="B1944" s="367" t="s">
        <v>323</v>
      </c>
      <c r="C1944" s="60" t="s">
        <v>198</v>
      </c>
      <c r="D1944" s="60"/>
      <c r="E1944" s="152" t="s">
        <v>75</v>
      </c>
      <c r="F1944" s="153" t="s">
        <v>13</v>
      </c>
      <c r="G1944" s="235" t="s">
        <v>13</v>
      </c>
      <c r="H1944" s="277" t="s">
        <v>13</v>
      </c>
      <c r="I1944" s="269" t="s">
        <v>13</v>
      </c>
    </row>
    <row r="1945" spans="2:9" ht="13.2">
      <c r="B1945" s="368" t="s">
        <v>324</v>
      </c>
      <c r="C1945" s="83"/>
      <c r="D1945" s="83"/>
      <c r="E1945" s="144" t="s">
        <v>164</v>
      </c>
      <c r="F1945" s="128" t="s">
        <v>16</v>
      </c>
      <c r="G1945" s="225">
        <v>75</v>
      </c>
      <c r="H1945" s="277">
        <f t="shared" si="196"/>
        <v>0</v>
      </c>
      <c r="I1945" s="278">
        <f>ROUND($G1945*H1945,2)</f>
        <v>0</v>
      </c>
    </row>
    <row r="1946" spans="2:9" ht="13.2">
      <c r="B1946" s="367" t="s">
        <v>325</v>
      </c>
      <c r="C1946" s="60" t="s">
        <v>199</v>
      </c>
      <c r="D1946" s="60"/>
      <c r="E1946" s="152" t="s">
        <v>110</v>
      </c>
      <c r="F1946" s="151" t="s">
        <v>13</v>
      </c>
      <c r="G1946" s="245" t="s">
        <v>13</v>
      </c>
      <c r="H1946" s="277" t="s">
        <v>13</v>
      </c>
      <c r="I1946" s="269" t="s">
        <v>13</v>
      </c>
    </row>
    <row r="1947" spans="2:9" ht="22.8">
      <c r="B1947" s="370" t="s">
        <v>326</v>
      </c>
      <c r="C1947" s="66"/>
      <c r="D1947" s="82"/>
      <c r="E1947" s="155" t="s">
        <v>126</v>
      </c>
      <c r="F1947" s="81" t="s">
        <v>16</v>
      </c>
      <c r="G1947" s="225">
        <v>380</v>
      </c>
      <c r="H1947" s="277">
        <f t="shared" si="196"/>
        <v>0</v>
      </c>
      <c r="I1947" s="278">
        <f t="shared" ref="I1947" si="200">ROUND($G1947*H1947,2)</f>
        <v>0</v>
      </c>
    </row>
    <row r="1948" spans="2:9" ht="13.2">
      <c r="B1948" s="370" t="s">
        <v>497</v>
      </c>
      <c r="C1948" s="66" t="s">
        <v>562</v>
      </c>
      <c r="D1948" s="157"/>
      <c r="E1948" s="158" t="s">
        <v>563</v>
      </c>
      <c r="F1948" s="282" t="s">
        <v>13</v>
      </c>
      <c r="G1948" s="283" t="s">
        <v>13</v>
      </c>
      <c r="H1948" s="277" t="s">
        <v>13</v>
      </c>
      <c r="I1948" s="284" t="s">
        <v>13</v>
      </c>
    </row>
    <row r="1949" spans="2:9" ht="13.2">
      <c r="B1949" s="370" t="s">
        <v>328</v>
      </c>
      <c r="C1949" s="83"/>
      <c r="D1949" s="159"/>
      <c r="E1949" s="158" t="s">
        <v>643</v>
      </c>
      <c r="F1949" s="81" t="s">
        <v>4</v>
      </c>
      <c r="G1949" s="225">
        <v>66</v>
      </c>
      <c r="H1949" s="277">
        <f t="shared" si="196"/>
        <v>0</v>
      </c>
      <c r="I1949" s="278">
        <f>ROUND($G1949*H1949,2)</f>
        <v>0</v>
      </c>
    </row>
    <row r="1950" spans="2:9" ht="13.2">
      <c r="B1950" s="369"/>
      <c r="C1950" s="12"/>
      <c r="D1950" s="25"/>
      <c r="E1950" s="14" t="s">
        <v>77</v>
      </c>
      <c r="F1950" s="13"/>
      <c r="G1950" s="96"/>
      <c r="H1950" s="41"/>
      <c r="I1950" s="34" t="s">
        <v>13</v>
      </c>
    </row>
    <row r="1951" spans="2:9" ht="13.8">
      <c r="B1951" s="367"/>
      <c r="C1951" s="571" t="s">
        <v>332</v>
      </c>
      <c r="D1951" s="572"/>
      <c r="E1951" s="573"/>
      <c r="F1951" s="7"/>
      <c r="G1951" s="161"/>
      <c r="H1951" s="33" t="s">
        <v>13</v>
      </c>
      <c r="I1951" s="242">
        <f>SUM(I1852:I1949)</f>
        <v>0</v>
      </c>
    </row>
    <row r="1952" spans="2:9" ht="26.4">
      <c r="B1952" s="205" t="s">
        <v>334</v>
      </c>
      <c r="C1952" s="563" t="s">
        <v>644</v>
      </c>
      <c r="D1952" s="564"/>
      <c r="E1952" s="565"/>
      <c r="F1952" s="565"/>
      <c r="G1952" s="565"/>
      <c r="H1952" s="565"/>
      <c r="I1952" s="566"/>
    </row>
    <row r="1953" spans="2:9" ht="24">
      <c r="B1953" s="204" t="s">
        <v>0</v>
      </c>
      <c r="C1953" s="404" t="s">
        <v>210</v>
      </c>
      <c r="D1953" s="404" t="s">
        <v>333</v>
      </c>
      <c r="E1953" s="405" t="s">
        <v>203</v>
      </c>
      <c r="F1953" s="310" t="s">
        <v>204</v>
      </c>
      <c r="G1953" s="405" t="s">
        <v>1</v>
      </c>
      <c r="H1953" s="41" t="s">
        <v>111</v>
      </c>
      <c r="I1953" s="406" t="s">
        <v>112</v>
      </c>
    </row>
    <row r="1954" spans="2:9" ht="12">
      <c r="B1954" s="369"/>
      <c r="C1954" s="128"/>
      <c r="D1954" s="196"/>
      <c r="E1954" s="87" t="s">
        <v>438</v>
      </c>
      <c r="F1954" s="13" t="s">
        <v>153</v>
      </c>
      <c r="G1954" s="226"/>
      <c r="H1954" s="41"/>
      <c r="I1954" s="34" t="s">
        <v>13</v>
      </c>
    </row>
    <row r="1955" spans="2:9" ht="13.2">
      <c r="B1955" s="367" t="s">
        <v>439</v>
      </c>
      <c r="C1955" s="375" t="s">
        <v>440</v>
      </c>
      <c r="D1955" s="374"/>
      <c r="E1955" s="376" t="s">
        <v>441</v>
      </c>
      <c r="F1955" s="377"/>
      <c r="G1955" s="411"/>
      <c r="H1955" s="397"/>
      <c r="I1955" s="380"/>
    </row>
    <row r="1956" spans="2:9" ht="24">
      <c r="B1956" s="367"/>
      <c r="C1956" s="71"/>
      <c r="D1956" s="72"/>
      <c r="E1956" s="73" t="s">
        <v>241</v>
      </c>
      <c r="F1956" s="30"/>
      <c r="G1956" s="222"/>
      <c r="H1956" s="44"/>
      <c r="I1956" s="36"/>
    </row>
    <row r="1957" spans="2:9" ht="12">
      <c r="B1957" s="367" t="s">
        <v>248</v>
      </c>
      <c r="C1957" s="60" t="s">
        <v>166</v>
      </c>
      <c r="D1957" s="60"/>
      <c r="E1957" s="61" t="s">
        <v>116</v>
      </c>
      <c r="F1957" s="62" t="s">
        <v>13</v>
      </c>
      <c r="G1957" s="63" t="s">
        <v>13</v>
      </c>
      <c r="H1957" s="276" t="s">
        <v>13</v>
      </c>
      <c r="I1957" s="269" t="s">
        <v>13</v>
      </c>
    </row>
    <row r="1958" spans="2:9" ht="22.8">
      <c r="B1958" s="368" t="s">
        <v>249</v>
      </c>
      <c r="C1958" s="66"/>
      <c r="D1958" s="66"/>
      <c r="E1958" s="67" t="s">
        <v>160</v>
      </c>
      <c r="F1958" s="62" t="s">
        <v>17</v>
      </c>
      <c r="G1958" s="225">
        <v>15</v>
      </c>
      <c r="H1958" s="277">
        <f>L1958*$K$5</f>
        <v>0</v>
      </c>
      <c r="I1958" s="278">
        <f t="shared" ref="I1958" si="201">ROUND($G1958*H1958,2)</f>
        <v>0</v>
      </c>
    </row>
    <row r="1959" spans="2:9" ht="13.2">
      <c r="B1959" s="367" t="s">
        <v>250</v>
      </c>
      <c r="C1959" s="375" t="s">
        <v>172</v>
      </c>
      <c r="D1959" s="374"/>
      <c r="E1959" s="376" t="s">
        <v>20</v>
      </c>
      <c r="F1959" s="377"/>
      <c r="G1959" s="411"/>
      <c r="H1959" s="397"/>
      <c r="I1959" s="380"/>
    </row>
    <row r="1960" spans="2:9" ht="24">
      <c r="B1960" s="367"/>
      <c r="C1960" s="71"/>
      <c r="D1960" s="72"/>
      <c r="E1960" s="73" t="s">
        <v>241</v>
      </c>
      <c r="F1960" s="30"/>
      <c r="G1960" s="222"/>
      <c r="H1960" s="44"/>
      <c r="I1960" s="36"/>
    </row>
    <row r="1961" spans="2:9" ht="12">
      <c r="B1961" s="367" t="s">
        <v>251</v>
      </c>
      <c r="C1961" s="74" t="s">
        <v>173</v>
      </c>
      <c r="D1961" s="75"/>
      <c r="E1961" s="76" t="s">
        <v>115</v>
      </c>
      <c r="F1961" s="62" t="s">
        <v>13</v>
      </c>
      <c r="G1961" s="63" t="s">
        <v>13</v>
      </c>
      <c r="H1961" s="276" t="s">
        <v>13</v>
      </c>
      <c r="I1961" s="269" t="s">
        <v>13</v>
      </c>
    </row>
    <row r="1962" spans="2:9">
      <c r="B1962" s="369"/>
      <c r="C1962" s="77"/>
      <c r="D1962" s="78"/>
      <c r="E1962" s="79" t="s">
        <v>117</v>
      </c>
      <c r="F1962" s="62" t="s">
        <v>13</v>
      </c>
      <c r="G1962" s="63" t="s">
        <v>13</v>
      </c>
      <c r="H1962" s="276" t="s">
        <v>13</v>
      </c>
      <c r="I1962" s="269" t="s">
        <v>13</v>
      </c>
    </row>
    <row r="1963" spans="2:9" ht="13.2">
      <c r="B1963" s="368" t="s">
        <v>252</v>
      </c>
      <c r="C1963" s="66"/>
      <c r="D1963" s="82"/>
      <c r="E1963" s="80" t="s">
        <v>365</v>
      </c>
      <c r="F1963" s="81" t="s">
        <v>23</v>
      </c>
      <c r="G1963" s="225">
        <v>12960</v>
      </c>
      <c r="H1963" s="277">
        <f>L1963*$K$5</f>
        <v>0</v>
      </c>
      <c r="I1963" s="278">
        <f t="shared" ref="I1963:I1965" si="202">ROUND($G1963*H1963,2)</f>
        <v>0</v>
      </c>
    </row>
    <row r="1964" spans="2:9" ht="13.2">
      <c r="B1964" s="368" t="s">
        <v>253</v>
      </c>
      <c r="C1964" s="66"/>
      <c r="D1964" s="82"/>
      <c r="E1964" s="80" t="s">
        <v>366</v>
      </c>
      <c r="F1964" s="81" t="s">
        <v>23</v>
      </c>
      <c r="G1964" s="225">
        <v>36870</v>
      </c>
      <c r="H1964" s="277">
        <f t="shared" ref="H1964:H1965" si="203">L1964*$K$5</f>
        <v>0</v>
      </c>
      <c r="I1964" s="278">
        <f t="shared" si="202"/>
        <v>0</v>
      </c>
    </row>
    <row r="1965" spans="2:9" ht="13.2">
      <c r="B1965" s="368" t="s">
        <v>254</v>
      </c>
      <c r="C1965" s="83"/>
      <c r="D1965" s="84"/>
      <c r="E1965" s="80" t="s">
        <v>645</v>
      </c>
      <c r="F1965" s="81" t="s">
        <v>23</v>
      </c>
      <c r="G1965" s="225">
        <v>300</v>
      </c>
      <c r="H1965" s="277">
        <f t="shared" si="203"/>
        <v>0</v>
      </c>
      <c r="I1965" s="278">
        <f t="shared" si="202"/>
        <v>0</v>
      </c>
    </row>
    <row r="1966" spans="2:9" ht="12">
      <c r="B1966" s="369"/>
      <c r="C1966" s="83"/>
      <c r="D1966" s="84"/>
      <c r="E1966" s="87" t="s">
        <v>26</v>
      </c>
      <c r="F1966" s="81" t="s">
        <v>153</v>
      </c>
      <c r="G1966" s="226"/>
      <c r="H1966" s="41"/>
      <c r="I1966" s="34" t="s">
        <v>13</v>
      </c>
    </row>
    <row r="1967" spans="2:9" ht="13.2">
      <c r="B1967" s="367" t="s">
        <v>256</v>
      </c>
      <c r="C1967" s="375" t="s">
        <v>174</v>
      </c>
      <c r="D1967" s="374"/>
      <c r="E1967" s="376" t="s">
        <v>27</v>
      </c>
      <c r="F1967" s="377"/>
      <c r="G1967" s="411"/>
      <c r="H1967" s="397"/>
      <c r="I1967" s="380"/>
    </row>
    <row r="1968" spans="2:9" ht="24">
      <c r="B1968" s="367"/>
      <c r="C1968" s="71"/>
      <c r="D1968" s="72"/>
      <c r="E1968" s="73" t="s">
        <v>241</v>
      </c>
      <c r="F1968" s="30"/>
      <c r="G1968" s="222"/>
      <c r="H1968" s="44"/>
      <c r="I1968" s="36"/>
    </row>
    <row r="1969" spans="2:9" ht="12">
      <c r="B1969" s="367" t="s">
        <v>257</v>
      </c>
      <c r="C1969" s="74" t="s">
        <v>175</v>
      </c>
      <c r="D1969" s="75"/>
      <c r="E1969" s="76" t="s">
        <v>29</v>
      </c>
      <c r="F1969" s="62" t="s">
        <v>13</v>
      </c>
      <c r="G1969" s="63" t="s">
        <v>13</v>
      </c>
      <c r="H1969" s="276" t="s">
        <v>13</v>
      </c>
      <c r="I1969" s="269" t="s">
        <v>13</v>
      </c>
    </row>
    <row r="1970" spans="2:9" ht="22.8">
      <c r="B1970" s="368" t="s">
        <v>258</v>
      </c>
      <c r="C1970" s="98"/>
      <c r="D1970" s="99"/>
      <c r="E1970" s="76" t="s">
        <v>367</v>
      </c>
      <c r="F1970" s="62" t="s">
        <v>17</v>
      </c>
      <c r="G1970" s="225">
        <v>108</v>
      </c>
      <c r="H1970" s="277">
        <f>L1970*$K$5</f>
        <v>0</v>
      </c>
      <c r="I1970" s="278">
        <f>ROUND($G1970*H1970,2)</f>
        <v>0</v>
      </c>
    </row>
    <row r="1971" spans="2:9" ht="13.2">
      <c r="B1971" s="367" t="s">
        <v>259</v>
      </c>
      <c r="C1971" s="66" t="s">
        <v>176</v>
      </c>
      <c r="D1971" s="66"/>
      <c r="E1971" s="90" t="s">
        <v>31</v>
      </c>
      <c r="F1971" s="81" t="s">
        <v>13</v>
      </c>
      <c r="G1971" s="228" t="s">
        <v>13</v>
      </c>
      <c r="H1971" s="277" t="s">
        <v>13</v>
      </c>
      <c r="I1971" s="269" t="s">
        <v>13</v>
      </c>
    </row>
    <row r="1972" spans="2:9" ht="13.2">
      <c r="B1972" s="368" t="s">
        <v>260</v>
      </c>
      <c r="C1972" s="66"/>
      <c r="D1972" s="66"/>
      <c r="E1972" s="67" t="s">
        <v>450</v>
      </c>
      <c r="F1972" s="62" t="s">
        <v>17</v>
      </c>
      <c r="G1972" s="225">
        <v>20</v>
      </c>
      <c r="H1972" s="277">
        <f t="shared" ref="H1972:H1980" si="204">L1972*$K$5</f>
        <v>0</v>
      </c>
      <c r="I1972" s="278">
        <f>ROUND($G1972*H1972,2)</f>
        <v>0</v>
      </c>
    </row>
    <row r="1973" spans="2:9" ht="22.8">
      <c r="B1973" s="368" t="s">
        <v>369</v>
      </c>
      <c r="C1973" s="83"/>
      <c r="D1973" s="83"/>
      <c r="E1973" s="67" t="s">
        <v>370</v>
      </c>
      <c r="F1973" s="62" t="s">
        <v>17</v>
      </c>
      <c r="G1973" s="225">
        <v>1</v>
      </c>
      <c r="H1973" s="277">
        <f t="shared" si="204"/>
        <v>0</v>
      </c>
      <c r="I1973" s="278">
        <f>ROUND($G1973*H1973,2)</f>
        <v>0</v>
      </c>
    </row>
    <row r="1974" spans="2:9" ht="13.2">
      <c r="B1974" s="367" t="s">
        <v>261</v>
      </c>
      <c r="C1974" s="66" t="s">
        <v>177</v>
      </c>
      <c r="D1974" s="66"/>
      <c r="E1974" s="90" t="s">
        <v>129</v>
      </c>
      <c r="F1974" s="81" t="s">
        <v>13</v>
      </c>
      <c r="G1974" s="228" t="s">
        <v>13</v>
      </c>
      <c r="H1974" s="277" t="s">
        <v>13</v>
      </c>
      <c r="I1974" s="48" t="s">
        <v>13</v>
      </c>
    </row>
    <row r="1975" spans="2:9" ht="13.2">
      <c r="B1975" s="368" t="s">
        <v>262</v>
      </c>
      <c r="C1975" s="66"/>
      <c r="D1975" s="66"/>
      <c r="E1975" s="67" t="s">
        <v>371</v>
      </c>
      <c r="F1975" s="62" t="s">
        <v>17</v>
      </c>
      <c r="G1975" s="225">
        <v>182</v>
      </c>
      <c r="H1975" s="277">
        <f t="shared" si="204"/>
        <v>0</v>
      </c>
      <c r="I1975" s="278">
        <f t="shared" ref="I1975:I1976" si="205">ROUND($G1975*H1975,2)</f>
        <v>0</v>
      </c>
    </row>
    <row r="1976" spans="2:9" ht="22.8">
      <c r="B1976" s="368" t="s">
        <v>515</v>
      </c>
      <c r="C1976" s="83"/>
      <c r="D1976" s="83"/>
      <c r="E1976" s="67" t="s">
        <v>646</v>
      </c>
      <c r="F1976" s="62" t="s">
        <v>17</v>
      </c>
      <c r="G1976" s="225">
        <v>1.5</v>
      </c>
      <c r="H1976" s="277">
        <f t="shared" si="204"/>
        <v>0</v>
      </c>
      <c r="I1976" s="278">
        <f t="shared" si="205"/>
        <v>0</v>
      </c>
    </row>
    <row r="1977" spans="2:9" ht="13.2">
      <c r="B1977" s="369"/>
      <c r="C1977" s="62"/>
      <c r="D1977" s="95"/>
      <c r="E1977" s="87" t="s">
        <v>39</v>
      </c>
      <c r="F1977" s="62" t="s">
        <v>153</v>
      </c>
      <c r="G1977" s="96"/>
      <c r="H1977"/>
      <c r="I1977" s="34" t="s">
        <v>13</v>
      </c>
    </row>
    <row r="1978" spans="2:9" ht="13.2">
      <c r="B1978" s="367" t="s">
        <v>263</v>
      </c>
      <c r="C1978" s="74" t="s">
        <v>181</v>
      </c>
      <c r="D1978" s="75"/>
      <c r="E1978" s="97" t="s">
        <v>139</v>
      </c>
      <c r="F1978" s="62" t="s">
        <v>13</v>
      </c>
      <c r="G1978" s="63" t="s">
        <v>13</v>
      </c>
      <c r="H1978" s="277" t="s">
        <v>13</v>
      </c>
      <c r="I1978" s="269" t="s">
        <v>13</v>
      </c>
    </row>
    <row r="1979" spans="2:9" ht="22.8">
      <c r="B1979" s="368" t="s">
        <v>264</v>
      </c>
      <c r="C1979" s="98"/>
      <c r="D1979" s="99"/>
      <c r="E1979" s="100" t="s">
        <v>140</v>
      </c>
      <c r="F1979" s="62" t="s">
        <v>17</v>
      </c>
      <c r="G1979" s="225">
        <v>16</v>
      </c>
      <c r="H1979" s="277">
        <f t="shared" si="204"/>
        <v>0</v>
      </c>
      <c r="I1979" s="278">
        <f t="shared" ref="I1979:I1980" si="206">ROUND($G1979*H1979,2)</f>
        <v>0</v>
      </c>
    </row>
    <row r="1980" spans="2:9" ht="22.8">
      <c r="B1980" s="368" t="s">
        <v>372</v>
      </c>
      <c r="C1980" s="101"/>
      <c r="D1980" s="102"/>
      <c r="E1980" s="100" t="s">
        <v>141</v>
      </c>
      <c r="F1980" s="62" t="s">
        <v>17</v>
      </c>
      <c r="G1980" s="225">
        <v>2.5</v>
      </c>
      <c r="H1980" s="277">
        <f t="shared" si="204"/>
        <v>0</v>
      </c>
      <c r="I1980" s="278">
        <f t="shared" si="206"/>
        <v>0</v>
      </c>
    </row>
    <row r="1981" spans="2:9" ht="12">
      <c r="B1981" s="369"/>
      <c r="C1981" s="101"/>
      <c r="D1981" s="102"/>
      <c r="E1981" s="87" t="s">
        <v>43</v>
      </c>
      <c r="F1981" s="62" t="s">
        <v>153</v>
      </c>
      <c r="G1981" s="229"/>
      <c r="H1981" s="41"/>
      <c r="I1981" s="34" t="s">
        <v>13</v>
      </c>
    </row>
    <row r="1982" spans="2:9" ht="13.2">
      <c r="B1982" s="367" t="s">
        <v>272</v>
      </c>
      <c r="C1982" s="375" t="s">
        <v>200</v>
      </c>
      <c r="D1982" s="374"/>
      <c r="E1982" s="376" t="s">
        <v>44</v>
      </c>
      <c r="F1982" s="377"/>
      <c r="G1982" s="414"/>
      <c r="H1982" s="397"/>
      <c r="I1982" s="380"/>
    </row>
    <row r="1983" spans="2:9" ht="24">
      <c r="B1983" s="367"/>
      <c r="C1983" s="71"/>
      <c r="D1983" s="72"/>
      <c r="E1983" s="73" t="s">
        <v>241</v>
      </c>
      <c r="F1983" s="30"/>
      <c r="G1983" s="230"/>
      <c r="H1983" s="44"/>
      <c r="I1983" s="36"/>
    </row>
    <row r="1984" spans="2:9" ht="12">
      <c r="B1984" s="367" t="s">
        <v>343</v>
      </c>
      <c r="C1984" s="74" t="s">
        <v>167</v>
      </c>
      <c r="D1984" s="74"/>
      <c r="E1984" s="90" t="s">
        <v>132</v>
      </c>
      <c r="F1984" s="62" t="s">
        <v>13</v>
      </c>
      <c r="G1984" s="228" t="s">
        <v>13</v>
      </c>
      <c r="H1984" s="276" t="s">
        <v>13</v>
      </c>
      <c r="I1984" s="269" t="s">
        <v>13</v>
      </c>
    </row>
    <row r="1985" spans="2:12" ht="13.2">
      <c r="B1985" s="368" t="s">
        <v>274</v>
      </c>
      <c r="C1985" s="106"/>
      <c r="D1985" s="106"/>
      <c r="E1985" s="67" t="s">
        <v>647</v>
      </c>
      <c r="F1985" s="62" t="s">
        <v>23</v>
      </c>
      <c r="G1985" s="225">
        <v>122</v>
      </c>
      <c r="H1985" s="277">
        <f>L1985*$K$5</f>
        <v>0</v>
      </c>
      <c r="I1985" s="278">
        <f t="shared" ref="I1985:I1987" si="207">ROUND($G1985*H1985,2)</f>
        <v>0</v>
      </c>
    </row>
    <row r="1986" spans="2:12" ht="22.8">
      <c r="B1986" s="368" t="s">
        <v>373</v>
      </c>
      <c r="C1986" s="106"/>
      <c r="D1986" s="106"/>
      <c r="E1986" s="279" t="s">
        <v>375</v>
      </c>
      <c r="F1986" s="62" t="s">
        <v>4</v>
      </c>
      <c r="G1986" s="225">
        <v>1.4</v>
      </c>
      <c r="H1986" s="277">
        <f t="shared" ref="H1986:H1987" si="208">L1986*$K$5</f>
        <v>0</v>
      </c>
      <c r="I1986" s="278">
        <f t="shared" si="207"/>
        <v>0</v>
      </c>
    </row>
    <row r="1987" spans="2:12" ht="22.8">
      <c r="B1987" s="368" t="s">
        <v>374</v>
      </c>
      <c r="C1987" s="106"/>
      <c r="D1987" s="106"/>
      <c r="E1987" s="279" t="s">
        <v>617</v>
      </c>
      <c r="F1987" s="62" t="s">
        <v>4</v>
      </c>
      <c r="G1987" s="225">
        <v>0.5</v>
      </c>
      <c r="H1987" s="277">
        <f t="shared" si="208"/>
        <v>0</v>
      </c>
      <c r="I1987" s="278">
        <f t="shared" si="207"/>
        <v>0</v>
      </c>
    </row>
    <row r="1988" spans="2:12" ht="12">
      <c r="B1988" s="369"/>
      <c r="C1988" s="12"/>
      <c r="D1988" s="25"/>
      <c r="E1988" s="87" t="s">
        <v>46</v>
      </c>
      <c r="F1988" s="13" t="s">
        <v>153</v>
      </c>
      <c r="G1988" s="96"/>
      <c r="H1988" s="41"/>
      <c r="I1988" s="34" t="s">
        <v>13</v>
      </c>
    </row>
    <row r="1989" spans="2:12" ht="13.2">
      <c r="B1989" s="367" t="s">
        <v>275</v>
      </c>
      <c r="C1989" s="375" t="s">
        <v>201</v>
      </c>
      <c r="D1989" s="374"/>
      <c r="E1989" s="407" t="s">
        <v>380</v>
      </c>
      <c r="F1989" s="377"/>
      <c r="G1989" s="411"/>
      <c r="H1989" s="397"/>
      <c r="I1989" s="380"/>
    </row>
    <row r="1990" spans="2:12" ht="24">
      <c r="B1990" s="367"/>
      <c r="C1990" s="71"/>
      <c r="D1990" s="72"/>
      <c r="E1990" s="73" t="s">
        <v>241</v>
      </c>
      <c r="F1990" s="30"/>
      <c r="G1990" s="222"/>
      <c r="H1990" s="44"/>
      <c r="I1990" s="36"/>
    </row>
    <row r="1991" spans="2:12" ht="12">
      <c r="B1991" s="367" t="s">
        <v>276</v>
      </c>
      <c r="C1991" s="60" t="s">
        <v>182</v>
      </c>
      <c r="D1991" s="60"/>
      <c r="E1991" s="90" t="s">
        <v>49</v>
      </c>
      <c r="F1991" s="62" t="s">
        <v>13</v>
      </c>
      <c r="G1991" s="63" t="s">
        <v>13</v>
      </c>
      <c r="H1991" s="276" t="s">
        <v>13</v>
      </c>
      <c r="I1991" s="269" t="s">
        <v>13</v>
      </c>
    </row>
    <row r="1992" spans="2:12" ht="34.200000000000003">
      <c r="B1992" s="368" t="s">
        <v>277</v>
      </c>
      <c r="C1992" s="66"/>
      <c r="D1992" s="66"/>
      <c r="E1992" s="110" t="s">
        <v>207</v>
      </c>
      <c r="F1992" s="62" t="s">
        <v>15</v>
      </c>
      <c r="G1992" s="225">
        <v>318</v>
      </c>
      <c r="H1992" s="277">
        <f>L1992*$K$5</f>
        <v>0</v>
      </c>
      <c r="I1992" s="278">
        <f t="shared" ref="I1992:I1993" si="209">ROUND($G1992*H1992,2)</f>
        <v>0</v>
      </c>
    </row>
    <row r="1993" spans="2:12" ht="45.6">
      <c r="B1993" s="368" t="s">
        <v>278</v>
      </c>
      <c r="C1993" s="83"/>
      <c r="D1993" s="83"/>
      <c r="E1993" s="92" t="s">
        <v>149</v>
      </c>
      <c r="F1993" s="62" t="s">
        <v>15</v>
      </c>
      <c r="G1993" s="225">
        <v>10</v>
      </c>
      <c r="H1993" s="277">
        <f t="shared" ref="H1993:H1999" si="210">L1993*$K$5</f>
        <v>0</v>
      </c>
      <c r="I1993" s="278">
        <f t="shared" si="209"/>
        <v>0</v>
      </c>
    </row>
    <row r="1994" spans="2:12" ht="13.2">
      <c r="B1994" s="367" t="s">
        <v>279</v>
      </c>
      <c r="C1994" s="74" t="s">
        <v>168</v>
      </c>
      <c r="D1994" s="74"/>
      <c r="E1994" s="90" t="s">
        <v>155</v>
      </c>
      <c r="F1994" s="81" t="s">
        <v>13</v>
      </c>
      <c r="G1994" s="228" t="s">
        <v>13</v>
      </c>
      <c r="H1994" s="277" t="s">
        <v>13</v>
      </c>
      <c r="I1994" s="269" t="s">
        <v>13</v>
      </c>
    </row>
    <row r="1995" spans="2:12" ht="22.8">
      <c r="B1995" s="368" t="s">
        <v>280</v>
      </c>
      <c r="C1995" s="103"/>
      <c r="D1995" s="103"/>
      <c r="E1995" s="110" t="s">
        <v>502</v>
      </c>
      <c r="F1995" s="62" t="s">
        <v>15</v>
      </c>
      <c r="G1995" s="225">
        <v>170</v>
      </c>
      <c r="H1995" s="277">
        <f t="shared" si="210"/>
        <v>0</v>
      </c>
      <c r="I1995" s="278">
        <f>ROUND($G1995*H1995,2)</f>
        <v>0</v>
      </c>
    </row>
    <row r="1996" spans="2:12" ht="13.2">
      <c r="B1996" s="367" t="s">
        <v>282</v>
      </c>
      <c r="C1996" s="74" t="s">
        <v>183</v>
      </c>
      <c r="D1996" s="74"/>
      <c r="E1996" s="90" t="s">
        <v>54</v>
      </c>
      <c r="F1996" s="81" t="s">
        <v>13</v>
      </c>
      <c r="G1996" s="228" t="s">
        <v>13</v>
      </c>
      <c r="H1996" s="277" t="s">
        <v>13</v>
      </c>
      <c r="I1996" s="269" t="s">
        <v>13</v>
      </c>
    </row>
    <row r="1997" spans="2:12" ht="22.8">
      <c r="B1997" s="368" t="s">
        <v>283</v>
      </c>
      <c r="C1997" s="98"/>
      <c r="D1997" s="98"/>
      <c r="E1997" s="92" t="s">
        <v>156</v>
      </c>
      <c r="F1997" s="62" t="s">
        <v>15</v>
      </c>
      <c r="G1997" s="225">
        <v>73.64</v>
      </c>
      <c r="H1997" s="277">
        <f t="shared" si="210"/>
        <v>0</v>
      </c>
      <c r="I1997" s="278">
        <f>ROUND($G1997*H1997,2)</f>
        <v>0</v>
      </c>
    </row>
    <row r="1998" spans="2:12" ht="13.2">
      <c r="B1998" s="367" t="s">
        <v>284</v>
      </c>
      <c r="C1998" s="74" t="s">
        <v>184</v>
      </c>
      <c r="D1998" s="74"/>
      <c r="E1998" s="90" t="s">
        <v>121</v>
      </c>
      <c r="F1998" s="81" t="s">
        <v>13</v>
      </c>
      <c r="G1998" s="228" t="s">
        <v>13</v>
      </c>
      <c r="H1998" s="277" t="s">
        <v>13</v>
      </c>
      <c r="I1998" s="48" t="s">
        <v>13</v>
      </c>
    </row>
    <row r="1999" spans="2:12" ht="22.8">
      <c r="B1999" s="368" t="s">
        <v>285</v>
      </c>
      <c r="C1999" s="98"/>
      <c r="D1999" s="98"/>
      <c r="E1999" s="111" t="s">
        <v>122</v>
      </c>
      <c r="F1999" s="83" t="s">
        <v>15</v>
      </c>
      <c r="G1999" s="225">
        <v>90.71</v>
      </c>
      <c r="H1999" s="277">
        <f t="shared" si="210"/>
        <v>0</v>
      </c>
      <c r="I1999" s="278">
        <f>ROUND($G1999*H1999,2)</f>
        <v>0</v>
      </c>
      <c r="L1999" s="8"/>
    </row>
    <row r="2000" spans="2:12" ht="12">
      <c r="B2000" s="369"/>
      <c r="C2000" s="12"/>
      <c r="D2000" s="25"/>
      <c r="E2000" s="87" t="s">
        <v>58</v>
      </c>
      <c r="F2000" s="13" t="s">
        <v>153</v>
      </c>
      <c r="G2000" s="96"/>
      <c r="H2000" s="41"/>
      <c r="I2000" s="34" t="s">
        <v>13</v>
      </c>
    </row>
    <row r="2001" spans="2:9" ht="13.2">
      <c r="B2001" s="367" t="s">
        <v>288</v>
      </c>
      <c r="C2001" s="385" t="s">
        <v>186</v>
      </c>
      <c r="D2001" s="386"/>
      <c r="E2001" s="387" t="s">
        <v>81</v>
      </c>
      <c r="F2001" s="388"/>
      <c r="G2001" s="411"/>
      <c r="H2001" s="437"/>
      <c r="I2001" s="380"/>
    </row>
    <row r="2002" spans="2:9" ht="24">
      <c r="B2002" s="367"/>
      <c r="C2002" s="71"/>
      <c r="D2002" s="72"/>
      <c r="E2002" s="73" t="s">
        <v>241</v>
      </c>
      <c r="F2002" s="30"/>
      <c r="G2002" s="231"/>
      <c r="H2002" s="44"/>
      <c r="I2002" s="271"/>
    </row>
    <row r="2003" spans="2:9" ht="12">
      <c r="B2003" s="367" t="s">
        <v>289</v>
      </c>
      <c r="C2003" s="74" t="s">
        <v>381</v>
      </c>
      <c r="D2003" s="91"/>
      <c r="E2003" s="172" t="s">
        <v>382</v>
      </c>
      <c r="F2003" s="62" t="s">
        <v>13</v>
      </c>
      <c r="G2003" s="233" t="s">
        <v>13</v>
      </c>
      <c r="H2003" s="276" t="s">
        <v>13</v>
      </c>
      <c r="I2003" s="269" t="s">
        <v>13</v>
      </c>
    </row>
    <row r="2004" spans="2:9" ht="22.8">
      <c r="B2004" s="368" t="s">
        <v>290</v>
      </c>
      <c r="C2004" s="173"/>
      <c r="D2004" s="173"/>
      <c r="E2004" s="67" t="s">
        <v>383</v>
      </c>
      <c r="F2004" s="62" t="s">
        <v>3</v>
      </c>
      <c r="G2004" s="225">
        <v>3</v>
      </c>
      <c r="H2004" s="277">
        <f>L2004*$K$5</f>
        <v>0</v>
      </c>
      <c r="I2004" s="278">
        <f>ROUND($G2004*H2004,2)</f>
        <v>0</v>
      </c>
    </row>
    <row r="2005" spans="2:9" ht="13.2">
      <c r="B2005" s="367" t="s">
        <v>384</v>
      </c>
      <c r="C2005" s="74" t="s">
        <v>187</v>
      </c>
      <c r="D2005" s="74"/>
      <c r="E2005" s="61" t="s">
        <v>360</v>
      </c>
      <c r="F2005" s="62" t="s">
        <v>13</v>
      </c>
      <c r="G2005" s="233" t="s">
        <v>13</v>
      </c>
      <c r="H2005" s="277" t="s">
        <v>13</v>
      </c>
      <c r="I2005" s="269" t="s">
        <v>13</v>
      </c>
    </row>
    <row r="2006" spans="2:9" ht="22.8">
      <c r="B2006" s="368" t="s">
        <v>385</v>
      </c>
      <c r="C2006" s="115"/>
      <c r="D2006" s="115"/>
      <c r="E2006" s="67" t="s">
        <v>612</v>
      </c>
      <c r="F2006" s="62" t="s">
        <v>4</v>
      </c>
      <c r="G2006" s="225">
        <v>15</v>
      </c>
      <c r="H2006" s="277">
        <f t="shared" ref="H2006:H2008" si="211">L2006*$K$5</f>
        <v>0</v>
      </c>
      <c r="I2006" s="278">
        <f t="shared" ref="I2006:I2008" si="212">ROUND($G2006*H2006,2)</f>
        <v>0</v>
      </c>
    </row>
    <row r="2007" spans="2:9" ht="22.8">
      <c r="B2007" s="368" t="s">
        <v>387</v>
      </c>
      <c r="C2007" s="115"/>
      <c r="D2007" s="115"/>
      <c r="E2007" s="67" t="s">
        <v>84</v>
      </c>
      <c r="F2007" s="62" t="s">
        <v>4</v>
      </c>
      <c r="G2007" s="225">
        <v>11</v>
      </c>
      <c r="H2007" s="277">
        <f t="shared" si="211"/>
        <v>0</v>
      </c>
      <c r="I2007" s="278">
        <f t="shared" si="212"/>
        <v>0</v>
      </c>
    </row>
    <row r="2008" spans="2:9" ht="22.8">
      <c r="B2008" s="368" t="s">
        <v>389</v>
      </c>
      <c r="C2008" s="115"/>
      <c r="D2008" s="115"/>
      <c r="E2008" s="116" t="s">
        <v>648</v>
      </c>
      <c r="F2008" s="62" t="s">
        <v>3</v>
      </c>
      <c r="G2008" s="225">
        <v>1</v>
      </c>
      <c r="H2008" s="277">
        <f t="shared" si="211"/>
        <v>0</v>
      </c>
      <c r="I2008" s="278">
        <f t="shared" si="212"/>
        <v>0</v>
      </c>
    </row>
    <row r="2009" spans="2:9" ht="12">
      <c r="B2009" s="369"/>
      <c r="C2009" s="73"/>
      <c r="D2009" s="118"/>
      <c r="E2009" s="112" t="s">
        <v>85</v>
      </c>
      <c r="F2009" s="13" t="s">
        <v>153</v>
      </c>
      <c r="G2009" s="119"/>
      <c r="H2009" s="41"/>
      <c r="I2009" s="34" t="s">
        <v>13</v>
      </c>
    </row>
    <row r="2010" spans="2:9" ht="13.2">
      <c r="B2010" s="367" t="s">
        <v>390</v>
      </c>
      <c r="C2010" s="385" t="s">
        <v>391</v>
      </c>
      <c r="D2010" s="386"/>
      <c r="E2010" s="387" t="s">
        <v>392</v>
      </c>
      <c r="F2010" s="388"/>
      <c r="G2010" s="414"/>
      <c r="H2010" s="437"/>
      <c r="I2010" s="380"/>
    </row>
    <row r="2011" spans="2:9" ht="24">
      <c r="B2011" s="367"/>
      <c r="C2011" s="71"/>
      <c r="D2011" s="72"/>
      <c r="E2011" s="73" t="s">
        <v>241</v>
      </c>
      <c r="F2011" s="30"/>
      <c r="G2011" s="230"/>
      <c r="H2011" s="44"/>
      <c r="I2011" s="36"/>
    </row>
    <row r="2012" spans="2:9" ht="12">
      <c r="B2012" s="367" t="s">
        <v>603</v>
      </c>
      <c r="C2012" s="74" t="s">
        <v>394</v>
      </c>
      <c r="D2012" s="75"/>
      <c r="E2012" s="122" t="s">
        <v>395</v>
      </c>
      <c r="F2012" s="62" t="s">
        <v>13</v>
      </c>
      <c r="G2012" s="63" t="s">
        <v>13</v>
      </c>
      <c r="H2012" s="276" t="s">
        <v>13</v>
      </c>
      <c r="I2012" s="48" t="s">
        <v>13</v>
      </c>
    </row>
    <row r="2013" spans="2:9">
      <c r="B2013" s="368" t="s">
        <v>396</v>
      </c>
      <c r="C2013" s="98"/>
      <c r="D2013" s="99"/>
      <c r="E2013" s="122" t="s">
        <v>397</v>
      </c>
      <c r="F2013" s="62" t="s">
        <v>13</v>
      </c>
      <c r="G2013" s="63" t="s">
        <v>13</v>
      </c>
      <c r="H2013" s="281" t="s">
        <v>13</v>
      </c>
      <c r="I2013" s="48" t="s">
        <v>13</v>
      </c>
    </row>
    <row r="2014" spans="2:9" ht="13.2">
      <c r="B2014" s="368" t="s">
        <v>398</v>
      </c>
      <c r="C2014" s="103"/>
      <c r="D2014" s="104"/>
      <c r="E2014" s="80" t="s">
        <v>619</v>
      </c>
      <c r="F2014" s="62" t="s">
        <v>3</v>
      </c>
      <c r="G2014" s="225">
        <v>1</v>
      </c>
      <c r="H2014" s="277">
        <f>L2014*$K$5</f>
        <v>0</v>
      </c>
      <c r="I2014" s="278">
        <f t="shared" ref="I2014:I2016" si="213">ROUND($G2014*H2014,2)</f>
        <v>0</v>
      </c>
    </row>
    <row r="2015" spans="2:9" ht="13.2">
      <c r="B2015" s="368" t="s">
        <v>400</v>
      </c>
      <c r="C2015" s="103"/>
      <c r="D2015" s="104"/>
      <c r="E2015" s="80" t="s">
        <v>620</v>
      </c>
      <c r="F2015" s="62" t="s">
        <v>3</v>
      </c>
      <c r="G2015" s="225">
        <v>1</v>
      </c>
      <c r="H2015" s="277">
        <f t="shared" ref="H2015:H2016" si="214">L2015*$K$5</f>
        <v>0</v>
      </c>
      <c r="I2015" s="278">
        <f t="shared" si="213"/>
        <v>0</v>
      </c>
    </row>
    <row r="2016" spans="2:9" ht="13.2">
      <c r="B2016" s="368" t="s">
        <v>402</v>
      </c>
      <c r="C2016" s="101"/>
      <c r="D2016" s="102"/>
      <c r="E2016" s="80" t="s">
        <v>621</v>
      </c>
      <c r="F2016" s="62" t="s">
        <v>3</v>
      </c>
      <c r="G2016" s="225">
        <v>2</v>
      </c>
      <c r="H2016" s="277">
        <f t="shared" si="214"/>
        <v>0</v>
      </c>
      <c r="I2016" s="278">
        <f t="shared" si="213"/>
        <v>0</v>
      </c>
    </row>
    <row r="2017" spans="2:9" ht="12">
      <c r="B2017" s="369"/>
      <c r="C2017" s="12"/>
      <c r="D2017" s="25"/>
      <c r="E2017" s="87" t="s">
        <v>404</v>
      </c>
      <c r="F2017" s="13" t="s">
        <v>153</v>
      </c>
      <c r="G2017" s="119"/>
      <c r="H2017" s="41"/>
      <c r="I2017" s="34" t="s">
        <v>13</v>
      </c>
    </row>
    <row r="2018" spans="2:9" ht="13.2">
      <c r="B2018" s="367" t="s">
        <v>292</v>
      </c>
      <c r="C2018" s="375" t="s">
        <v>188</v>
      </c>
      <c r="D2018" s="374"/>
      <c r="E2018" s="376" t="s">
        <v>59</v>
      </c>
      <c r="F2018" s="377"/>
      <c r="G2018" s="411"/>
      <c r="H2018" s="397"/>
      <c r="I2018" s="380"/>
    </row>
    <row r="2019" spans="2:9" ht="24">
      <c r="B2019" s="367"/>
      <c r="C2019" s="71"/>
      <c r="D2019" s="72"/>
      <c r="E2019" s="73" t="s">
        <v>241</v>
      </c>
      <c r="F2019" s="30"/>
      <c r="G2019" s="222"/>
      <c r="H2019" s="44"/>
      <c r="I2019" s="36"/>
    </row>
    <row r="2020" spans="2:9" ht="12">
      <c r="B2020" s="367" t="s">
        <v>293</v>
      </c>
      <c r="C2020" s="120" t="s">
        <v>405</v>
      </c>
      <c r="D2020" s="121"/>
      <c r="E2020" s="122" t="s">
        <v>406</v>
      </c>
      <c r="F2020" s="62" t="s">
        <v>13</v>
      </c>
      <c r="G2020" s="63" t="s">
        <v>13</v>
      </c>
      <c r="H2020" s="276" t="s">
        <v>13</v>
      </c>
      <c r="I2020" s="269" t="s">
        <v>13</v>
      </c>
    </row>
    <row r="2021" spans="2:9" ht="57">
      <c r="B2021" s="368" t="s">
        <v>294</v>
      </c>
      <c r="C2021" s="123"/>
      <c r="D2021" s="124"/>
      <c r="E2021" s="80" t="s">
        <v>407</v>
      </c>
      <c r="F2021" s="81" t="s">
        <v>4</v>
      </c>
      <c r="G2021" s="225">
        <v>15</v>
      </c>
      <c r="H2021" s="277">
        <f>L2021*$K$5</f>
        <v>0</v>
      </c>
      <c r="I2021" s="278">
        <f>ROUND($G2021*H2021,2)</f>
        <v>0</v>
      </c>
    </row>
    <row r="2022" spans="2:9" ht="13.2">
      <c r="B2022" s="367" t="s">
        <v>408</v>
      </c>
      <c r="C2022" s="120" t="s">
        <v>189</v>
      </c>
      <c r="D2022" s="121"/>
      <c r="E2022" s="122" t="s">
        <v>60</v>
      </c>
      <c r="F2022" s="62" t="s">
        <v>13</v>
      </c>
      <c r="G2022" s="63" t="s">
        <v>13</v>
      </c>
      <c r="H2022" s="277" t="s">
        <v>13</v>
      </c>
      <c r="I2022" s="269" t="s">
        <v>13</v>
      </c>
    </row>
    <row r="2023" spans="2:9" ht="34.200000000000003">
      <c r="B2023" s="368" t="s">
        <v>409</v>
      </c>
      <c r="C2023" s="125"/>
      <c r="D2023" s="126"/>
      <c r="E2023" s="127" t="s">
        <v>144</v>
      </c>
      <c r="F2023" s="128" t="s">
        <v>4</v>
      </c>
      <c r="G2023" s="225">
        <v>15</v>
      </c>
      <c r="H2023" s="277">
        <f t="shared" ref="H2023" si="215">L2023*$K$5</f>
        <v>0</v>
      </c>
      <c r="I2023" s="278">
        <f>ROUND($G2023*H2023,2)</f>
        <v>0</v>
      </c>
    </row>
    <row r="2024" spans="2:9" ht="12">
      <c r="B2024" s="369"/>
      <c r="C2024" s="129"/>
      <c r="D2024" s="130"/>
      <c r="E2024" s="87" t="s">
        <v>61</v>
      </c>
      <c r="F2024" s="13" t="s">
        <v>153</v>
      </c>
      <c r="G2024" s="119"/>
      <c r="H2024" s="41"/>
      <c r="I2024" s="34" t="s">
        <v>13</v>
      </c>
    </row>
    <row r="2025" spans="2:9" ht="13.2">
      <c r="B2025" s="367" t="s">
        <v>297</v>
      </c>
      <c r="C2025" s="375" t="s">
        <v>190</v>
      </c>
      <c r="D2025" s="374"/>
      <c r="E2025" s="376" t="s">
        <v>62</v>
      </c>
      <c r="F2025" s="377"/>
      <c r="G2025" s="411"/>
      <c r="H2025" s="397"/>
      <c r="I2025" s="380"/>
    </row>
    <row r="2026" spans="2:9" ht="24">
      <c r="B2026" s="367"/>
      <c r="C2026" s="71"/>
      <c r="D2026" s="72"/>
      <c r="E2026" s="73" t="s">
        <v>241</v>
      </c>
      <c r="F2026" s="30"/>
      <c r="G2026" s="222"/>
      <c r="H2026" s="44"/>
      <c r="I2026" s="36"/>
    </row>
    <row r="2027" spans="2:9" ht="12">
      <c r="B2027" s="367" t="s">
        <v>298</v>
      </c>
      <c r="C2027" s="60" t="s">
        <v>191</v>
      </c>
      <c r="D2027" s="60"/>
      <c r="E2027" s="90" t="s">
        <v>244</v>
      </c>
      <c r="F2027" s="62" t="s">
        <v>13</v>
      </c>
      <c r="G2027" s="63" t="s">
        <v>13</v>
      </c>
      <c r="H2027" s="276" t="s">
        <v>13</v>
      </c>
      <c r="I2027" s="269" t="s">
        <v>13</v>
      </c>
    </row>
    <row r="2028" spans="2:9" ht="22.8">
      <c r="B2028" s="368" t="s">
        <v>299</v>
      </c>
      <c r="C2028" s="66"/>
      <c r="D2028" s="66"/>
      <c r="E2028" s="133" t="s">
        <v>245</v>
      </c>
      <c r="F2028" s="132" t="s">
        <v>23</v>
      </c>
      <c r="G2028" s="225">
        <v>780</v>
      </c>
      <c r="H2028" s="277">
        <f>L2028*$K$5</f>
        <v>0</v>
      </c>
      <c r="I2028" s="278">
        <f t="shared" ref="I2028:I2029" si="216">ROUND($G2028*H2028,2)</f>
        <v>0</v>
      </c>
    </row>
    <row r="2029" spans="2:9" ht="22.8">
      <c r="B2029" s="368" t="s">
        <v>300</v>
      </c>
      <c r="C2029" s="66"/>
      <c r="D2029" s="66"/>
      <c r="E2029" s="133" t="s">
        <v>246</v>
      </c>
      <c r="F2029" s="132" t="s">
        <v>23</v>
      </c>
      <c r="G2029" s="225">
        <v>420</v>
      </c>
      <c r="H2029" s="277">
        <f>L2029*$K$5</f>
        <v>0</v>
      </c>
      <c r="I2029" s="278">
        <f t="shared" si="216"/>
        <v>0</v>
      </c>
    </row>
    <row r="2030" spans="2:9" ht="12">
      <c r="B2030" s="369"/>
      <c r="C2030" s="12"/>
      <c r="D2030" s="25"/>
      <c r="E2030" s="87" t="s">
        <v>63</v>
      </c>
      <c r="F2030" s="13"/>
      <c r="G2030" s="134"/>
      <c r="H2030" s="41"/>
      <c r="I2030" s="34" t="s">
        <v>13</v>
      </c>
    </row>
    <row r="2031" spans="2:9" ht="13.2">
      <c r="B2031" s="367" t="s">
        <v>301</v>
      </c>
      <c r="C2031" s="375" t="s">
        <v>192</v>
      </c>
      <c r="D2031" s="374"/>
      <c r="E2031" s="376" t="s">
        <v>64</v>
      </c>
      <c r="F2031" s="377"/>
      <c r="G2031" s="411"/>
      <c r="H2031" s="397"/>
      <c r="I2031" s="380"/>
    </row>
    <row r="2032" spans="2:9" ht="24">
      <c r="B2032" s="367"/>
      <c r="C2032" s="71"/>
      <c r="D2032" s="72"/>
      <c r="E2032" s="73" t="s">
        <v>241</v>
      </c>
      <c r="F2032" s="30"/>
      <c r="G2032" s="222"/>
      <c r="H2032" s="36"/>
      <c r="I2032" s="36"/>
    </row>
    <row r="2033" spans="2:9" ht="12">
      <c r="B2033" s="367" t="s">
        <v>302</v>
      </c>
      <c r="C2033" s="60" t="s">
        <v>193</v>
      </c>
      <c r="D2033" s="60"/>
      <c r="E2033" s="135" t="s">
        <v>66</v>
      </c>
      <c r="F2033" s="136" t="s">
        <v>13</v>
      </c>
      <c r="G2033" s="140" t="s">
        <v>13</v>
      </c>
      <c r="H2033" s="280" t="s">
        <v>13</v>
      </c>
      <c r="I2033" s="269" t="s">
        <v>13</v>
      </c>
    </row>
    <row r="2034" spans="2:9" ht="22.8">
      <c r="B2034" s="368" t="s">
        <v>303</v>
      </c>
      <c r="C2034" s="83"/>
      <c r="D2034" s="83"/>
      <c r="E2034" s="116" t="s">
        <v>158</v>
      </c>
      <c r="F2034" s="137" t="s">
        <v>16</v>
      </c>
      <c r="G2034" s="225">
        <v>88.04</v>
      </c>
      <c r="H2034" s="277">
        <f>L2034*$K$5</f>
        <v>0</v>
      </c>
      <c r="I2034" s="278">
        <f>ROUND($G2034*H2034,2)</f>
        <v>0</v>
      </c>
    </row>
    <row r="2035" spans="2:9" ht="13.2">
      <c r="B2035" s="367" t="s">
        <v>304</v>
      </c>
      <c r="C2035" s="74" t="s">
        <v>194</v>
      </c>
      <c r="D2035" s="74"/>
      <c r="E2035" s="135" t="s">
        <v>68</v>
      </c>
      <c r="F2035" s="136" t="s">
        <v>13</v>
      </c>
      <c r="G2035" s="140" t="s">
        <v>13</v>
      </c>
      <c r="H2035" s="277" t="s">
        <v>13</v>
      </c>
      <c r="I2035" s="269" t="s">
        <v>13</v>
      </c>
    </row>
    <row r="2036" spans="2:9" ht="34.799999999999997">
      <c r="B2036" s="368" t="s">
        <v>305</v>
      </c>
      <c r="C2036" s="98"/>
      <c r="D2036" s="98"/>
      <c r="E2036" s="116" t="s">
        <v>554</v>
      </c>
      <c r="F2036" s="136" t="s">
        <v>4</v>
      </c>
      <c r="G2036" s="225">
        <v>19.600000000000001</v>
      </c>
      <c r="H2036" s="277">
        <f t="shared" ref="H2036:H2059" si="217">L2036*$K$5</f>
        <v>0</v>
      </c>
      <c r="I2036" s="278">
        <f>ROUND($G2036*H2036,2)</f>
        <v>0</v>
      </c>
    </row>
    <row r="2037" spans="2:9" ht="13.2">
      <c r="B2037" s="367" t="s">
        <v>307</v>
      </c>
      <c r="C2037" s="74" t="s">
        <v>169</v>
      </c>
      <c r="D2037" s="75"/>
      <c r="E2037" s="122" t="s">
        <v>69</v>
      </c>
      <c r="F2037" s="62" t="s">
        <v>13</v>
      </c>
      <c r="G2037" s="63" t="s">
        <v>13</v>
      </c>
      <c r="H2037" s="277" t="s">
        <v>13</v>
      </c>
      <c r="I2037" s="269" t="s">
        <v>13</v>
      </c>
    </row>
    <row r="2038" spans="2:9" ht="34.200000000000003">
      <c r="B2038" s="368" t="s">
        <v>308</v>
      </c>
      <c r="C2038" s="98"/>
      <c r="D2038" s="99"/>
      <c r="E2038" s="80" t="s">
        <v>161</v>
      </c>
      <c r="F2038" s="81" t="s">
        <v>16</v>
      </c>
      <c r="G2038" s="225">
        <v>120</v>
      </c>
      <c r="H2038" s="277">
        <f t="shared" si="217"/>
        <v>0</v>
      </c>
      <c r="I2038" s="278">
        <f t="shared" ref="I2038:I2040" si="218">ROUND($G2038*H2038,2)</f>
        <v>0</v>
      </c>
    </row>
    <row r="2039" spans="2:9" ht="22.8">
      <c r="B2039" s="368" t="s">
        <v>309</v>
      </c>
      <c r="C2039" s="98"/>
      <c r="D2039" s="99"/>
      <c r="E2039" s="80" t="s">
        <v>70</v>
      </c>
      <c r="F2039" s="62" t="s">
        <v>4</v>
      </c>
      <c r="G2039" s="225">
        <v>19</v>
      </c>
      <c r="H2039" s="277">
        <f t="shared" si="217"/>
        <v>0</v>
      </c>
      <c r="I2039" s="278">
        <f t="shared" si="218"/>
        <v>0</v>
      </c>
    </row>
    <row r="2040" spans="2:9" ht="22.8">
      <c r="B2040" s="368" t="s">
        <v>649</v>
      </c>
      <c r="C2040" s="98"/>
      <c r="D2040" s="98"/>
      <c r="E2040" s="139" t="s">
        <v>142</v>
      </c>
      <c r="F2040" s="62" t="s">
        <v>4</v>
      </c>
      <c r="G2040" s="225">
        <v>15.5</v>
      </c>
      <c r="H2040" s="277">
        <f t="shared" si="217"/>
        <v>0</v>
      </c>
      <c r="I2040" s="278">
        <f t="shared" si="218"/>
        <v>0</v>
      </c>
    </row>
    <row r="2041" spans="2:9" ht="13.2">
      <c r="B2041" s="367" t="s">
        <v>311</v>
      </c>
      <c r="C2041" s="60" t="s">
        <v>195</v>
      </c>
      <c r="D2041" s="60"/>
      <c r="E2041" s="90" t="s">
        <v>71</v>
      </c>
      <c r="F2041" s="140" t="s">
        <v>13</v>
      </c>
      <c r="G2041" s="234" t="s">
        <v>13</v>
      </c>
      <c r="H2041" s="277" t="s">
        <v>13</v>
      </c>
      <c r="I2041" s="269" t="s">
        <v>13</v>
      </c>
    </row>
    <row r="2042" spans="2:9" ht="57">
      <c r="B2042" s="368" t="s">
        <v>312</v>
      </c>
      <c r="C2042" s="66"/>
      <c r="D2042" s="66"/>
      <c r="E2042" s="141" t="s">
        <v>127</v>
      </c>
      <c r="F2042" s="137" t="s">
        <v>16</v>
      </c>
      <c r="G2042" s="68">
        <v>125</v>
      </c>
      <c r="H2042" s="277">
        <f t="shared" si="217"/>
        <v>0</v>
      </c>
      <c r="I2042" s="278">
        <f t="shared" ref="I2042:I2043" si="219">ROUND($G2042*H2042,2)</f>
        <v>0</v>
      </c>
    </row>
    <row r="2043" spans="2:9" ht="45.6">
      <c r="B2043" s="368" t="s">
        <v>313</v>
      </c>
      <c r="C2043" s="83"/>
      <c r="D2043" s="83"/>
      <c r="E2043" s="67" t="s">
        <v>125</v>
      </c>
      <c r="F2043" s="81" t="s">
        <v>16</v>
      </c>
      <c r="G2043" s="68">
        <v>46</v>
      </c>
      <c r="H2043" s="277">
        <f t="shared" si="217"/>
        <v>0</v>
      </c>
      <c r="I2043" s="278">
        <f t="shared" si="219"/>
        <v>0</v>
      </c>
    </row>
    <row r="2044" spans="2:9" ht="13.2">
      <c r="B2044" s="367" t="s">
        <v>314</v>
      </c>
      <c r="C2044" s="60" t="s">
        <v>170</v>
      </c>
      <c r="D2044" s="60"/>
      <c r="E2044" s="61" t="s">
        <v>72</v>
      </c>
      <c r="F2044" s="81" t="s">
        <v>13</v>
      </c>
      <c r="G2044" s="260" t="s">
        <v>13</v>
      </c>
      <c r="H2044" s="277" t="s">
        <v>13</v>
      </c>
      <c r="I2044" s="269" t="s">
        <v>13</v>
      </c>
    </row>
    <row r="2045" spans="2:9" ht="34.200000000000003">
      <c r="B2045" s="368" t="s">
        <v>315</v>
      </c>
      <c r="C2045" s="66"/>
      <c r="D2045" s="66"/>
      <c r="E2045" s="144" t="s">
        <v>148</v>
      </c>
      <c r="F2045" s="81" t="s">
        <v>4</v>
      </c>
      <c r="G2045" s="225">
        <v>6.2</v>
      </c>
      <c r="H2045" s="277">
        <f t="shared" si="217"/>
        <v>0</v>
      </c>
      <c r="I2045" s="278">
        <f>ROUND($G2045*H2045,2)</f>
        <v>0</v>
      </c>
    </row>
    <row r="2046" spans="2:9" ht="22.8">
      <c r="B2046" s="367" t="s">
        <v>316</v>
      </c>
      <c r="C2046" s="60" t="s">
        <v>196</v>
      </c>
      <c r="D2046" s="60"/>
      <c r="E2046" s="145" t="s">
        <v>131</v>
      </c>
      <c r="F2046" s="146" t="s">
        <v>13</v>
      </c>
      <c r="G2046" s="245" t="s">
        <v>13</v>
      </c>
      <c r="H2046" s="277" t="s">
        <v>13</v>
      </c>
      <c r="I2046" s="269" t="s">
        <v>13</v>
      </c>
    </row>
    <row r="2047" spans="2:9" ht="22.8">
      <c r="B2047" s="368" t="s">
        <v>317</v>
      </c>
      <c r="C2047" s="66"/>
      <c r="D2047" s="66"/>
      <c r="E2047" s="147" t="s">
        <v>147</v>
      </c>
      <c r="F2047" s="146" t="s">
        <v>4</v>
      </c>
      <c r="G2047" s="225">
        <v>2</v>
      </c>
      <c r="H2047" s="277">
        <f t="shared" si="217"/>
        <v>0</v>
      </c>
      <c r="I2047" s="278">
        <f t="shared" ref="I2047:I2049" si="220">ROUND($G2047*H2047,2)</f>
        <v>0</v>
      </c>
    </row>
    <row r="2048" spans="2:9" ht="15.6">
      <c r="B2048" s="368" t="s">
        <v>318</v>
      </c>
      <c r="C2048" s="66"/>
      <c r="D2048" s="66"/>
      <c r="E2048" s="147" t="s">
        <v>145</v>
      </c>
      <c r="F2048" s="146" t="s">
        <v>76</v>
      </c>
      <c r="G2048" s="225">
        <v>3</v>
      </c>
      <c r="H2048" s="277">
        <f t="shared" si="217"/>
        <v>0</v>
      </c>
      <c r="I2048" s="278">
        <f t="shared" si="220"/>
        <v>0</v>
      </c>
    </row>
    <row r="2049" spans="2:9" ht="13.2">
      <c r="B2049" s="368" t="s">
        <v>319</v>
      </c>
      <c r="C2049" s="206"/>
      <c r="D2049" s="285"/>
      <c r="E2049" s="138" t="s">
        <v>650</v>
      </c>
      <c r="F2049" s="136" t="s">
        <v>3</v>
      </c>
      <c r="G2049" s="225">
        <v>1</v>
      </c>
      <c r="H2049" s="277">
        <f>L2049*$K$5</f>
        <v>0</v>
      </c>
      <c r="I2049" s="278">
        <f t="shared" si="220"/>
        <v>0</v>
      </c>
    </row>
    <row r="2050" spans="2:9" ht="22.8">
      <c r="B2050" s="367" t="s">
        <v>320</v>
      </c>
      <c r="C2050" s="74" t="s">
        <v>197</v>
      </c>
      <c r="D2050" s="74"/>
      <c r="E2050" s="148" t="s">
        <v>73</v>
      </c>
      <c r="F2050" s="81" t="s">
        <v>13</v>
      </c>
      <c r="G2050" s="228" t="s">
        <v>13</v>
      </c>
      <c r="H2050" s="277" t="s">
        <v>13</v>
      </c>
      <c r="I2050" s="269" t="s">
        <v>13</v>
      </c>
    </row>
    <row r="2051" spans="2:9" ht="13.2">
      <c r="B2051" s="368" t="s">
        <v>321</v>
      </c>
      <c r="C2051" s="98"/>
      <c r="D2051" s="98"/>
      <c r="E2051" s="149" t="s">
        <v>74</v>
      </c>
      <c r="F2051" s="136" t="s">
        <v>3</v>
      </c>
      <c r="G2051" s="225">
        <v>1</v>
      </c>
      <c r="H2051" s="277">
        <f t="shared" si="217"/>
        <v>0</v>
      </c>
      <c r="I2051" s="278">
        <f t="shared" ref="I2051:I2052" si="221">ROUND($G2051*H2051,2)</f>
        <v>0</v>
      </c>
    </row>
    <row r="2052" spans="2:9" ht="22.8">
      <c r="B2052" s="368" t="s">
        <v>322</v>
      </c>
      <c r="C2052" s="101"/>
      <c r="D2052" s="101"/>
      <c r="E2052" s="150" t="s">
        <v>128</v>
      </c>
      <c r="F2052" s="151" t="s">
        <v>3</v>
      </c>
      <c r="G2052" s="225">
        <v>12</v>
      </c>
      <c r="H2052" s="277">
        <f t="shared" si="217"/>
        <v>0</v>
      </c>
      <c r="I2052" s="278">
        <f t="shared" si="221"/>
        <v>0</v>
      </c>
    </row>
    <row r="2053" spans="2:9" ht="13.2">
      <c r="B2053" s="367" t="s">
        <v>323</v>
      </c>
      <c r="C2053" s="60" t="s">
        <v>198</v>
      </c>
      <c r="D2053" s="60"/>
      <c r="E2053" s="152" t="s">
        <v>75</v>
      </c>
      <c r="F2053" s="153" t="s">
        <v>13</v>
      </c>
      <c r="G2053" s="235" t="s">
        <v>13</v>
      </c>
      <c r="H2053" s="277" t="s">
        <v>13</v>
      </c>
      <c r="I2053" s="269" t="s">
        <v>13</v>
      </c>
    </row>
    <row r="2054" spans="2:9" ht="13.2">
      <c r="B2054" s="368" t="s">
        <v>324</v>
      </c>
      <c r="C2054" s="83"/>
      <c r="D2054" s="83"/>
      <c r="E2054" s="144" t="s">
        <v>164</v>
      </c>
      <c r="F2054" s="128" t="s">
        <v>16</v>
      </c>
      <c r="G2054" s="68">
        <v>52</v>
      </c>
      <c r="H2054" s="277">
        <f t="shared" si="217"/>
        <v>0</v>
      </c>
      <c r="I2054" s="278">
        <f>ROUND($G2054*H2054,2)</f>
        <v>0</v>
      </c>
    </row>
    <row r="2055" spans="2:9" ht="13.2">
      <c r="B2055" s="367" t="s">
        <v>325</v>
      </c>
      <c r="C2055" s="60" t="s">
        <v>199</v>
      </c>
      <c r="D2055" s="60"/>
      <c r="E2055" s="152" t="s">
        <v>110</v>
      </c>
      <c r="F2055" s="151" t="s">
        <v>13</v>
      </c>
      <c r="G2055" s="245" t="s">
        <v>13</v>
      </c>
      <c r="H2055" s="277" t="s">
        <v>13</v>
      </c>
      <c r="I2055" s="269" t="s">
        <v>13</v>
      </c>
    </row>
    <row r="2056" spans="2:9" ht="22.8">
      <c r="B2056" s="370" t="s">
        <v>326</v>
      </c>
      <c r="C2056" s="66"/>
      <c r="D2056" s="82"/>
      <c r="E2056" s="155" t="s">
        <v>126</v>
      </c>
      <c r="F2056" s="81" t="s">
        <v>16</v>
      </c>
      <c r="G2056" s="225">
        <v>95</v>
      </c>
      <c r="H2056" s="277">
        <f t="shared" si="217"/>
        <v>0</v>
      </c>
      <c r="I2056" s="278">
        <f t="shared" ref="I2056:I2057" si="222">ROUND($G2056*H2056,2)</f>
        <v>0</v>
      </c>
    </row>
    <row r="2057" spans="2:9" ht="22.8">
      <c r="B2057" s="370" t="s">
        <v>327</v>
      </c>
      <c r="C2057" s="83"/>
      <c r="D2057" s="84"/>
      <c r="E2057" s="156" t="s">
        <v>143</v>
      </c>
      <c r="F2057" s="81" t="s">
        <v>17</v>
      </c>
      <c r="G2057" s="225">
        <v>15</v>
      </c>
      <c r="H2057" s="277">
        <f>L2057*$K$5</f>
        <v>0</v>
      </c>
      <c r="I2057" s="278">
        <f t="shared" si="222"/>
        <v>0</v>
      </c>
    </row>
    <row r="2058" spans="2:9" ht="22.8">
      <c r="B2058" s="367" t="s">
        <v>361</v>
      </c>
      <c r="C2058" s="192" t="s">
        <v>362</v>
      </c>
      <c r="D2058" s="193"/>
      <c r="E2058" s="158" t="s">
        <v>162</v>
      </c>
      <c r="F2058" s="128" t="s">
        <v>13</v>
      </c>
      <c r="G2058" s="240" t="s">
        <v>13</v>
      </c>
      <c r="H2058" s="277" t="s">
        <v>13</v>
      </c>
      <c r="I2058" s="269" t="s">
        <v>13</v>
      </c>
    </row>
    <row r="2059" spans="2:9" ht="13.2">
      <c r="B2059" s="370" t="s">
        <v>328</v>
      </c>
      <c r="C2059" s="83"/>
      <c r="D2059" s="159"/>
      <c r="E2059" s="158" t="s">
        <v>242</v>
      </c>
      <c r="F2059" s="81" t="s">
        <v>3</v>
      </c>
      <c r="G2059" s="225">
        <v>4</v>
      </c>
      <c r="H2059" s="277">
        <f t="shared" si="217"/>
        <v>0</v>
      </c>
      <c r="I2059" s="278">
        <f>ROUND($G2059*H2059,2)</f>
        <v>0</v>
      </c>
    </row>
    <row r="2060" spans="2:9" ht="13.2">
      <c r="B2060" s="369"/>
      <c r="C2060" s="12"/>
      <c r="D2060" s="25"/>
      <c r="E2060" s="14" t="s">
        <v>77</v>
      </c>
      <c r="F2060" s="13"/>
      <c r="G2060" s="96"/>
      <c r="H2060" s="41" t="s">
        <v>13</v>
      </c>
      <c r="I2060" s="34" t="s">
        <v>13</v>
      </c>
    </row>
    <row r="2061" spans="2:9" ht="13.8">
      <c r="B2061" s="367"/>
      <c r="C2061" s="571" t="s">
        <v>332</v>
      </c>
      <c r="D2061" s="572"/>
      <c r="E2061" s="573"/>
      <c r="F2061" s="286"/>
      <c r="G2061" s="161"/>
      <c r="H2061" s="33" t="s">
        <v>13</v>
      </c>
      <c r="I2061" s="10">
        <f>SUM(I1954:I2059)</f>
        <v>0</v>
      </c>
    </row>
    <row r="2062" spans="2:9" ht="26.4">
      <c r="B2062" s="205" t="s">
        <v>334</v>
      </c>
      <c r="C2062" s="563" t="s">
        <v>651</v>
      </c>
      <c r="D2062" s="564"/>
      <c r="E2062" s="565"/>
      <c r="F2062" s="565"/>
      <c r="G2062" s="565"/>
      <c r="H2062" s="565"/>
      <c r="I2062" s="566"/>
    </row>
    <row r="2063" spans="2:9" ht="24">
      <c r="B2063" s="204" t="s">
        <v>0</v>
      </c>
      <c r="C2063" s="404" t="s">
        <v>210</v>
      </c>
      <c r="D2063" s="404" t="s">
        <v>333</v>
      </c>
      <c r="E2063" s="405" t="s">
        <v>203</v>
      </c>
      <c r="F2063" s="310" t="s">
        <v>204</v>
      </c>
      <c r="G2063" s="405" t="s">
        <v>1</v>
      </c>
      <c r="H2063" s="41" t="s">
        <v>111</v>
      </c>
      <c r="I2063" s="406" t="s">
        <v>112</v>
      </c>
    </row>
    <row r="2064" spans="2:9" ht="13.2">
      <c r="B2064" s="367" t="s">
        <v>247</v>
      </c>
      <c r="C2064" s="375" t="s">
        <v>171</v>
      </c>
      <c r="D2064" s="374"/>
      <c r="E2064" s="376" t="s">
        <v>14</v>
      </c>
      <c r="F2064" s="377"/>
      <c r="G2064" s="411"/>
      <c r="H2064" s="379"/>
      <c r="I2064" s="380"/>
    </row>
    <row r="2065" spans="2:9" ht="13.2">
      <c r="B2065" s="367" t="s">
        <v>439</v>
      </c>
      <c r="C2065" s="375" t="s">
        <v>440</v>
      </c>
      <c r="D2065" s="374"/>
      <c r="E2065" s="376" t="s">
        <v>441</v>
      </c>
      <c r="F2065" s="377"/>
      <c r="G2065" s="411"/>
      <c r="H2065" s="441"/>
      <c r="I2065" s="442"/>
    </row>
    <row r="2066" spans="2:9" ht="22.8">
      <c r="B2066" s="368" t="s">
        <v>249</v>
      </c>
      <c r="C2066" s="66"/>
      <c r="D2066" s="66"/>
      <c r="E2066" s="67" t="s">
        <v>160</v>
      </c>
      <c r="F2066" s="62" t="s">
        <v>17</v>
      </c>
      <c r="G2066" s="225">
        <v>30</v>
      </c>
      <c r="H2066" s="289">
        <f>L2066*$K$5</f>
        <v>0</v>
      </c>
      <c r="I2066" s="290">
        <f>ROUND($G2066*H2066,2)</f>
        <v>0</v>
      </c>
    </row>
    <row r="2067" spans="2:9" ht="13.2">
      <c r="B2067" s="367" t="s">
        <v>250</v>
      </c>
      <c r="C2067" s="375" t="s">
        <v>172</v>
      </c>
      <c r="D2067" s="374"/>
      <c r="E2067" s="376" t="s">
        <v>20</v>
      </c>
      <c r="F2067" s="377"/>
      <c r="G2067" s="411"/>
      <c r="H2067" s="441"/>
      <c r="I2067" s="442"/>
    </row>
    <row r="2068" spans="2:9" ht="24">
      <c r="B2068" s="367"/>
      <c r="C2068" s="71"/>
      <c r="D2068" s="72"/>
      <c r="E2068" s="73" t="s">
        <v>241</v>
      </c>
      <c r="F2068" s="30"/>
      <c r="G2068" s="222"/>
      <c r="H2068" s="44"/>
      <c r="I2068" s="44"/>
    </row>
    <row r="2069" spans="2:9" ht="12">
      <c r="B2069" s="367" t="s">
        <v>251</v>
      </c>
      <c r="C2069" s="74" t="s">
        <v>173</v>
      </c>
      <c r="D2069" s="75"/>
      <c r="E2069" s="76" t="s">
        <v>115</v>
      </c>
      <c r="F2069" s="62" t="s">
        <v>13</v>
      </c>
      <c r="G2069" s="63" t="s">
        <v>13</v>
      </c>
      <c r="H2069" s="276" t="s">
        <v>13</v>
      </c>
      <c r="I2069" s="269" t="s">
        <v>13</v>
      </c>
    </row>
    <row r="2070" spans="2:9">
      <c r="B2070" s="369"/>
      <c r="C2070" s="77"/>
      <c r="D2070" s="78"/>
      <c r="E2070" s="79" t="s">
        <v>117</v>
      </c>
      <c r="F2070" s="62" t="s">
        <v>13</v>
      </c>
      <c r="G2070" s="63" t="s">
        <v>13</v>
      </c>
      <c r="H2070" s="276" t="s">
        <v>13</v>
      </c>
      <c r="I2070" s="269" t="s">
        <v>13</v>
      </c>
    </row>
    <row r="2071" spans="2:9">
      <c r="B2071" s="368" t="s">
        <v>252</v>
      </c>
      <c r="C2071" s="66"/>
      <c r="D2071" s="82"/>
      <c r="E2071" s="80" t="s">
        <v>365</v>
      </c>
      <c r="F2071" s="81" t="s">
        <v>23</v>
      </c>
      <c r="G2071" s="225">
        <v>28650</v>
      </c>
      <c r="H2071" s="289">
        <f>L2072*$K$5</f>
        <v>0</v>
      </c>
      <c r="I2071" s="290">
        <f>ROUND($G2071*H2071,2)</f>
        <v>0</v>
      </c>
    </row>
    <row r="2072" spans="2:9">
      <c r="B2072" s="368" t="s">
        <v>253</v>
      </c>
      <c r="C2072" s="83"/>
      <c r="D2072" s="84"/>
      <c r="E2072" s="80" t="s">
        <v>366</v>
      </c>
      <c r="F2072" s="81" t="s">
        <v>23</v>
      </c>
      <c r="G2072" s="225">
        <v>58175</v>
      </c>
      <c r="H2072" s="289">
        <f>L2072*$K$5</f>
        <v>0</v>
      </c>
      <c r="I2072" s="290">
        <f>ROUND($G2072*H2072,2)</f>
        <v>0</v>
      </c>
    </row>
    <row r="2073" spans="2:9" ht="12">
      <c r="B2073" s="369"/>
      <c r="C2073" s="83"/>
      <c r="D2073" s="84"/>
      <c r="E2073" s="87" t="s">
        <v>26</v>
      </c>
      <c r="F2073" s="81" t="s">
        <v>153</v>
      </c>
      <c r="G2073" s="226"/>
      <c r="H2073" s="41"/>
      <c r="I2073" s="34" t="s">
        <v>13</v>
      </c>
    </row>
    <row r="2074" spans="2:9" ht="13.2">
      <c r="B2074" s="367" t="s">
        <v>256</v>
      </c>
      <c r="C2074" s="375" t="s">
        <v>174</v>
      </c>
      <c r="D2074" s="374"/>
      <c r="E2074" s="376" t="s">
        <v>27</v>
      </c>
      <c r="F2074" s="377"/>
      <c r="G2074" s="411"/>
      <c r="H2074" s="441"/>
      <c r="I2074" s="442"/>
    </row>
    <row r="2075" spans="2:9" ht="24">
      <c r="B2075" s="367"/>
      <c r="C2075" s="71"/>
      <c r="D2075" s="72"/>
      <c r="E2075" s="73" t="s">
        <v>241</v>
      </c>
      <c r="F2075" s="30"/>
      <c r="G2075" s="222"/>
      <c r="H2075" s="44"/>
      <c r="I2075" s="44"/>
    </row>
    <row r="2076" spans="2:9" ht="12">
      <c r="B2076" s="367" t="s">
        <v>257</v>
      </c>
      <c r="C2076" s="74" t="s">
        <v>175</v>
      </c>
      <c r="D2076" s="75"/>
      <c r="E2076" s="76" t="s">
        <v>29</v>
      </c>
      <c r="F2076" s="62" t="s">
        <v>13</v>
      </c>
      <c r="G2076" s="63" t="s">
        <v>13</v>
      </c>
      <c r="H2076" s="276" t="s">
        <v>13</v>
      </c>
      <c r="I2076" s="269" t="s">
        <v>13</v>
      </c>
    </row>
    <row r="2077" spans="2:9" ht="22.8">
      <c r="B2077" s="368" t="s">
        <v>258</v>
      </c>
      <c r="C2077" s="98"/>
      <c r="D2077" s="99"/>
      <c r="E2077" s="76" t="s">
        <v>367</v>
      </c>
      <c r="F2077" s="62" t="s">
        <v>17</v>
      </c>
      <c r="G2077" s="225">
        <v>196</v>
      </c>
      <c r="H2077" s="289">
        <f>L2077*$K$5</f>
        <v>0</v>
      </c>
      <c r="I2077" s="290">
        <f>ROUND($G2077*H2077,2)</f>
        <v>0</v>
      </c>
    </row>
    <row r="2078" spans="2:9" ht="12">
      <c r="B2078" s="367" t="s">
        <v>259</v>
      </c>
      <c r="C2078" s="66" t="s">
        <v>176</v>
      </c>
      <c r="D2078" s="66"/>
      <c r="E2078" s="90" t="s">
        <v>31</v>
      </c>
      <c r="F2078" s="81" t="s">
        <v>13</v>
      </c>
      <c r="G2078" s="228" t="s">
        <v>13</v>
      </c>
      <c r="H2078" s="289" t="s">
        <v>13</v>
      </c>
      <c r="I2078" s="269" t="s">
        <v>13</v>
      </c>
    </row>
    <row r="2079" spans="2:9" ht="13.2">
      <c r="B2079" s="368" t="s">
        <v>260</v>
      </c>
      <c r="C2079" s="66"/>
      <c r="D2079" s="66"/>
      <c r="E2079" s="67" t="s">
        <v>450</v>
      </c>
      <c r="F2079" s="62" t="s">
        <v>17</v>
      </c>
      <c r="G2079" s="225">
        <v>20</v>
      </c>
      <c r="H2079" s="289">
        <f t="shared" ref="H2079:H2086" si="223">L2079*$K$5</f>
        <v>0</v>
      </c>
      <c r="I2079" s="290">
        <f>ROUND($G2079*H2079,2)</f>
        <v>0</v>
      </c>
    </row>
    <row r="2080" spans="2:9" ht="22.8">
      <c r="B2080" s="368" t="s">
        <v>369</v>
      </c>
      <c r="C2080" s="83"/>
      <c r="D2080" s="83"/>
      <c r="E2080" s="67" t="s">
        <v>370</v>
      </c>
      <c r="F2080" s="62" t="s">
        <v>17</v>
      </c>
      <c r="G2080" s="225">
        <v>1</v>
      </c>
      <c r="H2080" s="289">
        <f t="shared" si="223"/>
        <v>0</v>
      </c>
      <c r="I2080" s="290">
        <f>ROUND($G2080*H2080,2)</f>
        <v>0</v>
      </c>
    </row>
    <row r="2081" spans="2:9" ht="12">
      <c r="B2081" s="367" t="s">
        <v>261</v>
      </c>
      <c r="C2081" s="66" t="s">
        <v>177</v>
      </c>
      <c r="D2081" s="66"/>
      <c r="E2081" s="90" t="s">
        <v>129</v>
      </c>
      <c r="F2081" s="81" t="s">
        <v>13</v>
      </c>
      <c r="G2081" s="228" t="s">
        <v>13</v>
      </c>
      <c r="H2081" s="289" t="s">
        <v>13</v>
      </c>
      <c r="I2081" s="48" t="s">
        <v>13</v>
      </c>
    </row>
    <row r="2082" spans="2:9" ht="13.2">
      <c r="B2082" s="368" t="s">
        <v>262</v>
      </c>
      <c r="C2082" s="66"/>
      <c r="D2082" s="66"/>
      <c r="E2082" s="67" t="s">
        <v>371</v>
      </c>
      <c r="F2082" s="62" t="s">
        <v>17</v>
      </c>
      <c r="G2082" s="225">
        <v>276</v>
      </c>
      <c r="H2082" s="289">
        <f t="shared" si="223"/>
        <v>0</v>
      </c>
      <c r="I2082" s="290">
        <f>ROUND($G2082*H2082,2)</f>
        <v>0</v>
      </c>
    </row>
    <row r="2083" spans="2:9" ht="13.2">
      <c r="B2083" s="369"/>
      <c r="C2083" s="62"/>
      <c r="D2083" s="95"/>
      <c r="E2083" s="87" t="s">
        <v>39</v>
      </c>
      <c r="F2083" s="62" t="s">
        <v>153</v>
      </c>
      <c r="G2083" s="96"/>
      <c r="H2083"/>
      <c r="I2083" s="34" t="s">
        <v>13</v>
      </c>
    </row>
    <row r="2084" spans="2:9" ht="12">
      <c r="B2084" s="367" t="s">
        <v>263</v>
      </c>
      <c r="C2084" s="74" t="s">
        <v>181</v>
      </c>
      <c r="D2084" s="75"/>
      <c r="E2084" s="97" t="s">
        <v>139</v>
      </c>
      <c r="F2084" s="62" t="s">
        <v>13</v>
      </c>
      <c r="G2084" s="63" t="s">
        <v>13</v>
      </c>
      <c r="H2084" s="289" t="s">
        <v>13</v>
      </c>
      <c r="I2084" s="269" t="s">
        <v>13</v>
      </c>
    </row>
    <row r="2085" spans="2:9" ht="22.8">
      <c r="B2085" s="368" t="s">
        <v>264</v>
      </c>
      <c r="C2085" s="98"/>
      <c r="D2085" s="99"/>
      <c r="E2085" s="100" t="s">
        <v>140</v>
      </c>
      <c r="F2085" s="62" t="s">
        <v>17</v>
      </c>
      <c r="G2085" s="225">
        <v>15</v>
      </c>
      <c r="H2085" s="289">
        <f t="shared" si="223"/>
        <v>0</v>
      </c>
      <c r="I2085" s="290">
        <f>ROUND($G2085*H2085,2)</f>
        <v>0</v>
      </c>
    </row>
    <row r="2086" spans="2:9" ht="22.8">
      <c r="B2086" s="368" t="s">
        <v>372</v>
      </c>
      <c r="C2086" s="101"/>
      <c r="D2086" s="102"/>
      <c r="E2086" s="100" t="s">
        <v>141</v>
      </c>
      <c r="F2086" s="62" t="s">
        <v>17</v>
      </c>
      <c r="G2086" s="225">
        <v>2.5</v>
      </c>
      <c r="H2086" s="289">
        <f t="shared" si="223"/>
        <v>0</v>
      </c>
      <c r="I2086" s="290">
        <f>ROUND($G2086*H2086,2)</f>
        <v>0</v>
      </c>
    </row>
    <row r="2087" spans="2:9" ht="12">
      <c r="B2087" s="369"/>
      <c r="C2087" s="101"/>
      <c r="D2087" s="102"/>
      <c r="E2087" s="87" t="s">
        <v>43</v>
      </c>
      <c r="F2087" s="62" t="s">
        <v>153</v>
      </c>
      <c r="G2087" s="229"/>
      <c r="H2087" s="41"/>
      <c r="I2087" s="34" t="s">
        <v>13</v>
      </c>
    </row>
    <row r="2088" spans="2:9" ht="13.2">
      <c r="B2088" s="367" t="s">
        <v>272</v>
      </c>
      <c r="C2088" s="375" t="s">
        <v>200</v>
      </c>
      <c r="D2088" s="374"/>
      <c r="E2088" s="376" t="s">
        <v>44</v>
      </c>
      <c r="F2088" s="377"/>
      <c r="G2088" s="414"/>
      <c r="H2088" s="441"/>
      <c r="I2088" s="442"/>
    </row>
    <row r="2089" spans="2:9" ht="24">
      <c r="B2089" s="367"/>
      <c r="C2089" s="71"/>
      <c r="D2089" s="72"/>
      <c r="E2089" s="73" t="s">
        <v>241</v>
      </c>
      <c r="F2089" s="30"/>
      <c r="G2089" s="230"/>
      <c r="H2089" s="44"/>
      <c r="I2089" s="44"/>
    </row>
    <row r="2090" spans="2:9">
      <c r="B2090" s="368" t="s">
        <v>374</v>
      </c>
      <c r="C2090" s="106"/>
      <c r="D2090" s="106"/>
      <c r="E2090" s="263" t="s">
        <v>647</v>
      </c>
      <c r="F2090" s="62" t="s">
        <v>23</v>
      </c>
      <c r="G2090" s="225">
        <v>53</v>
      </c>
      <c r="H2090" s="289">
        <f>L2090*$K$5</f>
        <v>0</v>
      </c>
      <c r="I2090" s="290">
        <f t="shared" ref="I2090:I2093" si="224">ROUND($G2090*H2090,2)</f>
        <v>0</v>
      </c>
    </row>
    <row r="2091" spans="2:9" ht="22.8">
      <c r="B2091" s="368" t="s">
        <v>376</v>
      </c>
      <c r="C2091" s="106" t="s">
        <v>120</v>
      </c>
      <c r="D2091" s="106"/>
      <c r="E2091" s="110" t="s">
        <v>340</v>
      </c>
      <c r="F2091" s="62" t="s">
        <v>4</v>
      </c>
      <c r="G2091" s="225">
        <v>6</v>
      </c>
      <c r="H2091" s="289">
        <f t="shared" ref="H2091:H2093" si="225">L2091*$K$5</f>
        <v>0</v>
      </c>
      <c r="I2091" s="290">
        <f t="shared" si="224"/>
        <v>0</v>
      </c>
    </row>
    <row r="2092" spans="2:9" ht="22.8">
      <c r="B2092" s="368" t="s">
        <v>378</v>
      </c>
      <c r="C2092" s="106"/>
      <c r="D2092" s="106"/>
      <c r="E2092" s="279" t="s">
        <v>375</v>
      </c>
      <c r="F2092" s="62" t="s">
        <v>4</v>
      </c>
      <c r="G2092" s="225">
        <v>2</v>
      </c>
      <c r="H2092" s="289">
        <f t="shared" si="225"/>
        <v>0</v>
      </c>
      <c r="I2092" s="290">
        <f t="shared" si="224"/>
        <v>0</v>
      </c>
    </row>
    <row r="2093" spans="2:9" ht="22.8">
      <c r="B2093" s="368" t="s">
        <v>652</v>
      </c>
      <c r="C2093" s="106"/>
      <c r="D2093" s="106"/>
      <c r="E2093" s="279" t="s">
        <v>653</v>
      </c>
      <c r="F2093" s="62" t="s">
        <v>4</v>
      </c>
      <c r="G2093" s="225">
        <v>1</v>
      </c>
      <c r="H2093" s="289">
        <f t="shared" si="225"/>
        <v>0</v>
      </c>
      <c r="I2093" s="290">
        <f t="shared" si="224"/>
        <v>0</v>
      </c>
    </row>
    <row r="2094" spans="2:9" ht="13.2">
      <c r="B2094" s="367" t="s">
        <v>275</v>
      </c>
      <c r="C2094" s="375" t="s">
        <v>201</v>
      </c>
      <c r="D2094" s="374"/>
      <c r="E2094" s="407" t="s">
        <v>380</v>
      </c>
      <c r="F2094" s="377"/>
      <c r="G2094" s="411"/>
      <c r="H2094" s="441"/>
      <c r="I2094" s="442"/>
    </row>
    <row r="2095" spans="2:9" ht="24">
      <c r="B2095" s="367"/>
      <c r="C2095" s="71"/>
      <c r="D2095" s="72"/>
      <c r="E2095" s="73" t="s">
        <v>241</v>
      </c>
      <c r="F2095" s="30"/>
      <c r="G2095" s="222"/>
      <c r="H2095" s="44"/>
      <c r="I2095" s="44"/>
    </row>
    <row r="2096" spans="2:9" ht="12">
      <c r="B2096" s="367" t="s">
        <v>276</v>
      </c>
      <c r="C2096" s="60" t="s">
        <v>182</v>
      </c>
      <c r="D2096" s="60"/>
      <c r="E2096" s="90" t="s">
        <v>49</v>
      </c>
      <c r="F2096" s="62" t="s">
        <v>13</v>
      </c>
      <c r="G2096" s="63" t="s">
        <v>13</v>
      </c>
      <c r="H2096" s="276" t="s">
        <v>13</v>
      </c>
      <c r="I2096" s="269" t="s">
        <v>13</v>
      </c>
    </row>
    <row r="2097" spans="2:9" ht="34.200000000000003">
      <c r="B2097" s="368" t="s">
        <v>277</v>
      </c>
      <c r="C2097" s="66"/>
      <c r="D2097" s="66"/>
      <c r="E2097" s="92" t="s">
        <v>602</v>
      </c>
      <c r="F2097" s="62" t="s">
        <v>15</v>
      </c>
      <c r="G2097" s="225">
        <v>645</v>
      </c>
      <c r="H2097" s="289">
        <f>L2097*$K$5</f>
        <v>0</v>
      </c>
      <c r="I2097" s="290">
        <f>ROUND($G2097*H2097,2)</f>
        <v>0</v>
      </c>
    </row>
    <row r="2098" spans="2:9" ht="12">
      <c r="B2098" s="367" t="s">
        <v>279</v>
      </c>
      <c r="C2098" s="74" t="s">
        <v>168</v>
      </c>
      <c r="D2098" s="74"/>
      <c r="E2098" s="90" t="s">
        <v>155</v>
      </c>
      <c r="F2098" s="81" t="s">
        <v>13</v>
      </c>
      <c r="G2098" s="291" t="s">
        <v>13</v>
      </c>
      <c r="H2098" s="289" t="s">
        <v>13</v>
      </c>
      <c r="I2098" s="269" t="s">
        <v>13</v>
      </c>
    </row>
    <row r="2099" spans="2:9" ht="22.8">
      <c r="B2099" s="368" t="s">
        <v>280</v>
      </c>
      <c r="C2099" s="103"/>
      <c r="D2099" s="103"/>
      <c r="E2099" s="110" t="s">
        <v>502</v>
      </c>
      <c r="F2099" s="62" t="s">
        <v>15</v>
      </c>
      <c r="G2099" s="225">
        <v>255</v>
      </c>
      <c r="H2099" s="289">
        <f t="shared" ref="H2099:H2103" si="226">L2099*$K$5</f>
        <v>0</v>
      </c>
      <c r="I2099" s="290">
        <f>ROUND($G2099*H2099,2)</f>
        <v>0</v>
      </c>
    </row>
    <row r="2100" spans="2:9" ht="12">
      <c r="B2100" s="367" t="s">
        <v>282</v>
      </c>
      <c r="C2100" s="74" t="s">
        <v>183</v>
      </c>
      <c r="D2100" s="74"/>
      <c r="E2100" s="90" t="s">
        <v>54</v>
      </c>
      <c r="F2100" s="81" t="s">
        <v>13</v>
      </c>
      <c r="G2100" s="228" t="s">
        <v>13</v>
      </c>
      <c r="H2100" s="289" t="s">
        <v>13</v>
      </c>
      <c r="I2100" s="269" t="s">
        <v>13</v>
      </c>
    </row>
    <row r="2101" spans="2:9" ht="22.8">
      <c r="B2101" s="368" t="s">
        <v>283</v>
      </c>
      <c r="C2101" s="98"/>
      <c r="D2101" s="98"/>
      <c r="E2101" s="92" t="s">
        <v>156</v>
      </c>
      <c r="F2101" s="62" t="s">
        <v>15</v>
      </c>
      <c r="G2101" s="225">
        <v>25</v>
      </c>
      <c r="H2101" s="289">
        <f t="shared" si="226"/>
        <v>0</v>
      </c>
      <c r="I2101" s="290">
        <f>ROUND($G2101*H2101,2)</f>
        <v>0</v>
      </c>
    </row>
    <row r="2102" spans="2:9" ht="12">
      <c r="B2102" s="367" t="s">
        <v>284</v>
      </c>
      <c r="C2102" s="74" t="s">
        <v>184</v>
      </c>
      <c r="D2102" s="74"/>
      <c r="E2102" s="90" t="s">
        <v>121</v>
      </c>
      <c r="F2102" s="81" t="s">
        <v>13</v>
      </c>
      <c r="G2102" s="228" t="s">
        <v>13</v>
      </c>
      <c r="H2102" s="289" t="s">
        <v>13</v>
      </c>
      <c r="I2102" s="48" t="s">
        <v>13</v>
      </c>
    </row>
    <row r="2103" spans="2:9" ht="22.8">
      <c r="B2103" s="368" t="s">
        <v>285</v>
      </c>
      <c r="C2103" s="98"/>
      <c r="D2103" s="98"/>
      <c r="E2103" s="111" t="s">
        <v>122</v>
      </c>
      <c r="F2103" s="83" t="s">
        <v>15</v>
      </c>
      <c r="G2103" s="225">
        <v>270</v>
      </c>
      <c r="H2103" s="289">
        <f t="shared" si="226"/>
        <v>0</v>
      </c>
      <c r="I2103" s="290">
        <f>ROUND($G2103*H2103,2)</f>
        <v>0</v>
      </c>
    </row>
    <row r="2104" spans="2:9" ht="12">
      <c r="B2104" s="369"/>
      <c r="C2104" s="12"/>
      <c r="D2104" s="25"/>
      <c r="E2104" s="87" t="s">
        <v>58</v>
      </c>
      <c r="F2104" s="13" t="s">
        <v>153</v>
      </c>
      <c r="G2104" s="96"/>
      <c r="H2104" s="41"/>
      <c r="I2104" s="34" t="s">
        <v>13</v>
      </c>
    </row>
    <row r="2105" spans="2:9" ht="13.2">
      <c r="B2105" s="367" t="s">
        <v>288</v>
      </c>
      <c r="C2105" s="385" t="s">
        <v>186</v>
      </c>
      <c r="D2105" s="386"/>
      <c r="E2105" s="387" t="s">
        <v>81</v>
      </c>
      <c r="F2105" s="388"/>
      <c r="G2105" s="411"/>
      <c r="H2105" s="443"/>
      <c r="I2105" s="442"/>
    </row>
    <row r="2106" spans="2:9" ht="24">
      <c r="B2106" s="367"/>
      <c r="C2106" s="71"/>
      <c r="D2106" s="72"/>
      <c r="E2106" s="73" t="s">
        <v>241</v>
      </c>
      <c r="F2106" s="30"/>
      <c r="G2106" s="231"/>
      <c r="H2106" s="44"/>
      <c r="I2106" s="271"/>
    </row>
    <row r="2107" spans="2:9" ht="12">
      <c r="B2107" s="367" t="s">
        <v>289</v>
      </c>
      <c r="C2107" s="74" t="s">
        <v>381</v>
      </c>
      <c r="D2107" s="91"/>
      <c r="E2107" s="172" t="s">
        <v>382</v>
      </c>
      <c r="F2107" s="62" t="s">
        <v>13</v>
      </c>
      <c r="G2107" s="233" t="s">
        <v>13</v>
      </c>
      <c r="H2107" s="276" t="s">
        <v>13</v>
      </c>
      <c r="I2107" s="269" t="s">
        <v>13</v>
      </c>
    </row>
    <row r="2108" spans="2:9" ht="22.8">
      <c r="B2108" s="368" t="s">
        <v>290</v>
      </c>
      <c r="C2108" s="173"/>
      <c r="D2108" s="173"/>
      <c r="E2108" s="67" t="s">
        <v>383</v>
      </c>
      <c r="F2108" s="62" t="s">
        <v>3</v>
      </c>
      <c r="G2108" s="225">
        <v>6</v>
      </c>
      <c r="H2108" s="289">
        <f>L2108*$K$5</f>
        <v>0</v>
      </c>
      <c r="I2108" s="290">
        <f>ROUND($G2108*H2108,2)</f>
        <v>0</v>
      </c>
    </row>
    <row r="2109" spans="2:9" ht="12">
      <c r="B2109" s="367" t="s">
        <v>384</v>
      </c>
      <c r="C2109" s="74" t="s">
        <v>187</v>
      </c>
      <c r="D2109" s="74"/>
      <c r="E2109" s="61" t="s">
        <v>360</v>
      </c>
      <c r="F2109" s="62" t="s">
        <v>13</v>
      </c>
      <c r="G2109" s="233" t="s">
        <v>13</v>
      </c>
      <c r="H2109" s="289" t="s">
        <v>13</v>
      </c>
      <c r="I2109" s="269" t="s">
        <v>13</v>
      </c>
    </row>
    <row r="2110" spans="2:9" ht="22.8">
      <c r="B2110" s="368" t="s">
        <v>385</v>
      </c>
      <c r="C2110" s="115"/>
      <c r="D2110" s="115"/>
      <c r="E2110" s="67" t="s">
        <v>386</v>
      </c>
      <c r="F2110" s="62" t="s">
        <v>4</v>
      </c>
      <c r="G2110" s="225">
        <v>40</v>
      </c>
      <c r="H2110" s="289">
        <f t="shared" ref="H2110:H2113" si="227">L2110*$K$5</f>
        <v>0</v>
      </c>
      <c r="I2110" s="290">
        <f>ROUND($G2110*H2110,2)</f>
        <v>0</v>
      </c>
    </row>
    <row r="2111" spans="2:9" ht="22.8">
      <c r="B2111" s="368" t="s">
        <v>387</v>
      </c>
      <c r="C2111" s="115"/>
      <c r="D2111" s="115"/>
      <c r="E2111" s="67" t="s">
        <v>388</v>
      </c>
      <c r="F2111" s="62" t="s">
        <v>4</v>
      </c>
      <c r="G2111" s="225">
        <v>12</v>
      </c>
      <c r="H2111" s="289">
        <f t="shared" si="227"/>
        <v>0</v>
      </c>
      <c r="I2111" s="290">
        <f>ROUND($G2111*H2111,2)</f>
        <v>0</v>
      </c>
    </row>
    <row r="2112" spans="2:9" ht="22.8">
      <c r="B2112" s="368" t="s">
        <v>389</v>
      </c>
      <c r="C2112" s="115"/>
      <c r="D2112" s="115"/>
      <c r="E2112" s="67" t="s">
        <v>654</v>
      </c>
      <c r="F2112" s="62" t="s">
        <v>4</v>
      </c>
      <c r="G2112" s="225">
        <v>15</v>
      </c>
      <c r="H2112" s="289">
        <f t="shared" si="227"/>
        <v>0</v>
      </c>
      <c r="I2112" s="290">
        <f>ROUND($G2112*H2112,2)</f>
        <v>0</v>
      </c>
    </row>
    <row r="2113" spans="2:9" ht="22.8">
      <c r="B2113" s="368" t="s">
        <v>521</v>
      </c>
      <c r="C2113" s="115"/>
      <c r="D2113" s="115"/>
      <c r="E2113" s="116" t="s">
        <v>648</v>
      </c>
      <c r="F2113" s="62" t="s">
        <v>3</v>
      </c>
      <c r="G2113" s="225">
        <v>2</v>
      </c>
      <c r="H2113" s="289">
        <f t="shared" si="227"/>
        <v>0</v>
      </c>
      <c r="I2113" s="290">
        <f>ROUND($G2113*H2113,2)</f>
        <v>0</v>
      </c>
    </row>
    <row r="2114" spans="2:9" ht="12">
      <c r="B2114" s="369"/>
      <c r="C2114" s="73"/>
      <c r="D2114" s="118"/>
      <c r="E2114" s="112" t="s">
        <v>85</v>
      </c>
      <c r="F2114" s="13" t="s">
        <v>153</v>
      </c>
      <c r="G2114" s="119"/>
      <c r="H2114" s="41"/>
      <c r="I2114" s="34" t="s">
        <v>13</v>
      </c>
    </row>
    <row r="2115" spans="2:9" ht="13.2">
      <c r="B2115" s="367" t="s">
        <v>390</v>
      </c>
      <c r="C2115" s="385" t="s">
        <v>391</v>
      </c>
      <c r="D2115" s="386"/>
      <c r="E2115" s="387" t="s">
        <v>392</v>
      </c>
      <c r="F2115" s="388"/>
      <c r="G2115" s="414"/>
      <c r="H2115" s="443"/>
      <c r="I2115" s="442"/>
    </row>
    <row r="2116" spans="2:9" ht="24">
      <c r="B2116" s="367"/>
      <c r="C2116" s="71"/>
      <c r="D2116" s="72"/>
      <c r="E2116" s="73" t="s">
        <v>241</v>
      </c>
      <c r="F2116" s="30"/>
      <c r="G2116" s="230"/>
      <c r="H2116" s="44"/>
      <c r="I2116" s="44"/>
    </row>
    <row r="2117" spans="2:9" ht="12">
      <c r="B2117" s="367" t="s">
        <v>603</v>
      </c>
      <c r="C2117" s="74" t="s">
        <v>394</v>
      </c>
      <c r="D2117" s="75"/>
      <c r="E2117" s="122" t="s">
        <v>395</v>
      </c>
      <c r="F2117" s="62" t="s">
        <v>13</v>
      </c>
      <c r="G2117" s="63" t="s">
        <v>13</v>
      </c>
      <c r="H2117" s="276" t="s">
        <v>13</v>
      </c>
      <c r="I2117" s="48" t="s">
        <v>13</v>
      </c>
    </row>
    <row r="2118" spans="2:9">
      <c r="B2118" s="368" t="s">
        <v>396</v>
      </c>
      <c r="C2118" s="98"/>
      <c r="D2118" s="99"/>
      <c r="E2118" s="122" t="s">
        <v>397</v>
      </c>
      <c r="F2118" s="62" t="s">
        <v>13</v>
      </c>
      <c r="G2118" s="63" t="s">
        <v>13</v>
      </c>
      <c r="H2118" s="276" t="s">
        <v>13</v>
      </c>
      <c r="I2118" s="48" t="s">
        <v>13</v>
      </c>
    </row>
    <row r="2119" spans="2:9">
      <c r="B2119" s="368" t="s">
        <v>398</v>
      </c>
      <c r="C2119" s="103"/>
      <c r="D2119" s="104"/>
      <c r="E2119" s="292" t="s">
        <v>619</v>
      </c>
      <c r="F2119" s="62" t="s">
        <v>3</v>
      </c>
      <c r="G2119" s="225">
        <v>2</v>
      </c>
      <c r="H2119" s="289">
        <f>L2119*$K$5</f>
        <v>0</v>
      </c>
      <c r="I2119" s="290">
        <f>ROUND($G2119*H2119,2)</f>
        <v>0</v>
      </c>
    </row>
    <row r="2120" spans="2:9">
      <c r="B2120" s="368" t="s">
        <v>400</v>
      </c>
      <c r="C2120" s="103"/>
      <c r="D2120" s="104"/>
      <c r="E2120" s="292" t="s">
        <v>620</v>
      </c>
      <c r="F2120" s="62" t="s">
        <v>3</v>
      </c>
      <c r="G2120" s="225">
        <v>2</v>
      </c>
      <c r="H2120" s="289">
        <f t="shared" ref="H2120:H2121" si="228">L2120*$K$5</f>
        <v>0</v>
      </c>
      <c r="I2120" s="290">
        <f>ROUND($G2120*H2120,2)</f>
        <v>0</v>
      </c>
    </row>
    <row r="2121" spans="2:9">
      <c r="B2121" s="368" t="s">
        <v>402</v>
      </c>
      <c r="C2121" s="101"/>
      <c r="D2121" s="102"/>
      <c r="E2121" s="292" t="s">
        <v>621</v>
      </c>
      <c r="F2121" s="62" t="s">
        <v>3</v>
      </c>
      <c r="G2121" s="225">
        <v>4</v>
      </c>
      <c r="H2121" s="289">
        <f t="shared" si="228"/>
        <v>0</v>
      </c>
      <c r="I2121" s="290">
        <f>ROUND($G2121*H2121,2)</f>
        <v>0</v>
      </c>
    </row>
    <row r="2122" spans="2:9" ht="12">
      <c r="B2122" s="369"/>
      <c r="C2122" s="12"/>
      <c r="D2122" s="25"/>
      <c r="E2122" s="87" t="s">
        <v>404</v>
      </c>
      <c r="F2122" s="13" t="s">
        <v>153</v>
      </c>
      <c r="G2122" s="119"/>
      <c r="H2122" s="41"/>
      <c r="I2122" s="34" t="s">
        <v>13</v>
      </c>
    </row>
    <row r="2123" spans="2:9" ht="13.2">
      <c r="B2123" s="367" t="s">
        <v>292</v>
      </c>
      <c r="C2123" s="375" t="s">
        <v>188</v>
      </c>
      <c r="D2123" s="374"/>
      <c r="E2123" s="376" t="s">
        <v>59</v>
      </c>
      <c r="F2123" s="377"/>
      <c r="G2123" s="411"/>
      <c r="H2123" s="441"/>
      <c r="I2123" s="442"/>
    </row>
    <row r="2124" spans="2:9" ht="24">
      <c r="B2124" s="367"/>
      <c r="C2124" s="71"/>
      <c r="D2124" s="72"/>
      <c r="E2124" s="73" t="s">
        <v>241</v>
      </c>
      <c r="F2124" s="30"/>
      <c r="G2124" s="222"/>
      <c r="H2124" s="44"/>
      <c r="I2124" s="44"/>
    </row>
    <row r="2125" spans="2:9" ht="12">
      <c r="B2125" s="367" t="s">
        <v>293</v>
      </c>
      <c r="C2125" s="120" t="s">
        <v>405</v>
      </c>
      <c r="D2125" s="121"/>
      <c r="E2125" s="122" t="s">
        <v>406</v>
      </c>
      <c r="F2125" s="62" t="s">
        <v>13</v>
      </c>
      <c r="G2125" s="63" t="s">
        <v>13</v>
      </c>
      <c r="H2125" s="276" t="s">
        <v>13</v>
      </c>
      <c r="I2125" s="269" t="s">
        <v>13</v>
      </c>
    </row>
    <row r="2126" spans="2:9" ht="57">
      <c r="B2126" s="368" t="s">
        <v>294</v>
      </c>
      <c r="C2126" s="125"/>
      <c r="D2126" s="126"/>
      <c r="E2126" s="80" t="s">
        <v>407</v>
      </c>
      <c r="F2126" s="81" t="s">
        <v>4</v>
      </c>
      <c r="G2126" s="225">
        <v>28</v>
      </c>
      <c r="H2126" s="289">
        <f>L2126*$K$5</f>
        <v>0</v>
      </c>
      <c r="I2126" s="290">
        <f>ROUND($G2126*H2126,2)</f>
        <v>0</v>
      </c>
    </row>
    <row r="2127" spans="2:9" ht="12">
      <c r="B2127" s="367" t="s">
        <v>408</v>
      </c>
      <c r="C2127" s="120" t="s">
        <v>189</v>
      </c>
      <c r="D2127" s="121"/>
      <c r="E2127" s="122" t="s">
        <v>60</v>
      </c>
      <c r="F2127" s="62" t="s">
        <v>13</v>
      </c>
      <c r="G2127" s="63" t="s">
        <v>13</v>
      </c>
      <c r="H2127" s="289" t="s">
        <v>13</v>
      </c>
      <c r="I2127" s="269" t="s">
        <v>13</v>
      </c>
    </row>
    <row r="2128" spans="2:9" ht="34.200000000000003">
      <c r="B2128" s="368" t="s">
        <v>409</v>
      </c>
      <c r="C2128" s="123"/>
      <c r="D2128" s="124"/>
      <c r="E2128" s="80" t="s">
        <v>124</v>
      </c>
      <c r="F2128" s="81" t="s">
        <v>4</v>
      </c>
      <c r="G2128" s="225">
        <v>12</v>
      </c>
      <c r="H2128" s="289">
        <f t="shared" ref="H2128" si="229">L2128*$K$5</f>
        <v>0</v>
      </c>
      <c r="I2128" s="290">
        <f>ROUND($G2128*H2128,2)</f>
        <v>0</v>
      </c>
    </row>
    <row r="2129" spans="2:9" ht="13.2">
      <c r="B2129" s="367" t="s">
        <v>297</v>
      </c>
      <c r="C2129" s="375" t="s">
        <v>190</v>
      </c>
      <c r="D2129" s="374"/>
      <c r="E2129" s="376" t="s">
        <v>62</v>
      </c>
      <c r="F2129" s="377"/>
      <c r="G2129" s="411"/>
      <c r="H2129" s="441"/>
      <c r="I2129" s="442"/>
    </row>
    <row r="2130" spans="2:9" ht="24">
      <c r="B2130" s="367"/>
      <c r="C2130" s="71"/>
      <c r="D2130" s="72"/>
      <c r="E2130" s="73" t="s">
        <v>241</v>
      </c>
      <c r="F2130" s="30"/>
      <c r="G2130" s="222"/>
      <c r="H2130" s="44"/>
      <c r="I2130" s="44"/>
    </row>
    <row r="2131" spans="2:9" ht="12">
      <c r="B2131" s="367" t="s">
        <v>298</v>
      </c>
      <c r="C2131" s="60" t="s">
        <v>191</v>
      </c>
      <c r="D2131" s="60"/>
      <c r="E2131" s="90" t="s">
        <v>244</v>
      </c>
      <c r="F2131" s="62" t="s">
        <v>13</v>
      </c>
      <c r="G2131" s="63" t="s">
        <v>13</v>
      </c>
      <c r="H2131" s="276" t="s">
        <v>13</v>
      </c>
      <c r="I2131" s="269" t="s">
        <v>13</v>
      </c>
    </row>
    <row r="2132" spans="2:9" ht="22.8">
      <c r="B2132" s="368" t="s">
        <v>299</v>
      </c>
      <c r="C2132" s="66"/>
      <c r="D2132" s="66"/>
      <c r="E2132" s="133" t="s">
        <v>245</v>
      </c>
      <c r="F2132" s="132" t="s">
        <v>23</v>
      </c>
      <c r="G2132" s="225">
        <v>792</v>
      </c>
      <c r="H2132" s="289">
        <f>L2132*$K$5</f>
        <v>0</v>
      </c>
      <c r="I2132" s="290">
        <f>ROUND($G2132*H2132,2)</f>
        <v>0</v>
      </c>
    </row>
    <row r="2133" spans="2:9" ht="22.8">
      <c r="B2133" s="368" t="s">
        <v>300</v>
      </c>
      <c r="C2133" s="66"/>
      <c r="D2133" s="66"/>
      <c r="E2133" s="133" t="s">
        <v>246</v>
      </c>
      <c r="F2133" s="132" t="s">
        <v>23</v>
      </c>
      <c r="G2133" s="225">
        <v>202</v>
      </c>
      <c r="H2133" s="289">
        <f>L2133*$K$5</f>
        <v>0</v>
      </c>
      <c r="I2133" s="290">
        <f>ROUND($G2133*H2133,2)</f>
        <v>0</v>
      </c>
    </row>
    <row r="2134" spans="2:9" ht="12">
      <c r="B2134" s="369"/>
      <c r="C2134" s="12"/>
      <c r="D2134" s="25"/>
      <c r="E2134" s="87" t="s">
        <v>63</v>
      </c>
      <c r="F2134" s="13"/>
      <c r="G2134" s="134"/>
      <c r="H2134" s="41"/>
      <c r="I2134" s="34" t="s">
        <v>13</v>
      </c>
    </row>
    <row r="2135" spans="2:9" ht="13.2">
      <c r="B2135" s="367" t="s">
        <v>301</v>
      </c>
      <c r="C2135" s="375" t="s">
        <v>192</v>
      </c>
      <c r="D2135" s="374"/>
      <c r="E2135" s="376" t="s">
        <v>64</v>
      </c>
      <c r="F2135" s="377"/>
      <c r="G2135" s="411"/>
      <c r="H2135" s="441"/>
      <c r="I2135" s="442"/>
    </row>
    <row r="2136" spans="2:9" ht="24">
      <c r="B2136" s="367"/>
      <c r="C2136" s="71"/>
      <c r="D2136" s="72"/>
      <c r="E2136" s="73" t="s">
        <v>241</v>
      </c>
      <c r="F2136" s="30"/>
      <c r="G2136" s="222"/>
      <c r="H2136" s="44"/>
      <c r="I2136" s="44"/>
    </row>
    <row r="2137" spans="2:9" ht="12">
      <c r="B2137" s="367" t="s">
        <v>302</v>
      </c>
      <c r="C2137" s="60" t="s">
        <v>193</v>
      </c>
      <c r="D2137" s="60"/>
      <c r="E2137" s="135" t="s">
        <v>66</v>
      </c>
      <c r="F2137" s="136" t="s">
        <v>13</v>
      </c>
      <c r="G2137" s="140" t="s">
        <v>13</v>
      </c>
      <c r="H2137" s="293" t="s">
        <v>13</v>
      </c>
      <c r="I2137" s="269" t="s">
        <v>13</v>
      </c>
    </row>
    <row r="2138" spans="2:9" ht="22.8">
      <c r="B2138" s="368" t="s">
        <v>303</v>
      </c>
      <c r="C2138" s="83"/>
      <c r="D2138" s="83"/>
      <c r="E2138" s="116" t="s">
        <v>158</v>
      </c>
      <c r="F2138" s="137" t="s">
        <v>16</v>
      </c>
      <c r="G2138" s="225">
        <v>144</v>
      </c>
      <c r="H2138" s="289">
        <f>L2138*$K$5</f>
        <v>0</v>
      </c>
      <c r="I2138" s="290">
        <f>ROUND($G2138*H2138,2)</f>
        <v>0</v>
      </c>
    </row>
    <row r="2139" spans="2:9" ht="12">
      <c r="B2139" s="367" t="s">
        <v>304</v>
      </c>
      <c r="C2139" s="74" t="s">
        <v>194</v>
      </c>
      <c r="D2139" s="74"/>
      <c r="E2139" s="135" t="s">
        <v>68</v>
      </c>
      <c r="F2139" s="136" t="s">
        <v>13</v>
      </c>
      <c r="G2139" s="140" t="s">
        <v>13</v>
      </c>
      <c r="H2139" s="289" t="s">
        <v>13</v>
      </c>
      <c r="I2139" s="269" t="s">
        <v>13</v>
      </c>
    </row>
    <row r="2140" spans="2:9" ht="34.799999999999997">
      <c r="B2140" s="368" t="s">
        <v>305</v>
      </c>
      <c r="C2140" s="98"/>
      <c r="D2140" s="98"/>
      <c r="E2140" s="116" t="s">
        <v>554</v>
      </c>
      <c r="F2140" s="136" t="s">
        <v>4</v>
      </c>
      <c r="G2140" s="225">
        <v>30</v>
      </c>
      <c r="H2140" s="289">
        <f t="shared" ref="H2140:H2163" si="230">L2140*$K$5</f>
        <v>0</v>
      </c>
      <c r="I2140" s="290">
        <f>ROUND($G2140*H2140,2)</f>
        <v>0</v>
      </c>
    </row>
    <row r="2141" spans="2:9" ht="12">
      <c r="B2141" s="367" t="s">
        <v>307</v>
      </c>
      <c r="C2141" s="74" t="s">
        <v>169</v>
      </c>
      <c r="D2141" s="75"/>
      <c r="E2141" s="122" t="s">
        <v>69</v>
      </c>
      <c r="F2141" s="62" t="s">
        <v>13</v>
      </c>
      <c r="G2141" s="63" t="s">
        <v>13</v>
      </c>
      <c r="H2141" s="289" t="s">
        <v>13</v>
      </c>
      <c r="I2141" s="269" t="s">
        <v>13</v>
      </c>
    </row>
    <row r="2142" spans="2:9" ht="34.200000000000003">
      <c r="B2142" s="368" t="s">
        <v>308</v>
      </c>
      <c r="C2142" s="98"/>
      <c r="D2142" s="99"/>
      <c r="E2142" s="80" t="s">
        <v>161</v>
      </c>
      <c r="F2142" s="81" t="s">
        <v>16</v>
      </c>
      <c r="G2142" s="225">
        <v>95</v>
      </c>
      <c r="H2142" s="289">
        <f t="shared" si="230"/>
        <v>0</v>
      </c>
      <c r="I2142" s="290">
        <f>ROUND($G2142*H2142,2)</f>
        <v>0</v>
      </c>
    </row>
    <row r="2143" spans="2:9" ht="22.8">
      <c r="B2143" s="368" t="s">
        <v>309</v>
      </c>
      <c r="C2143" s="98"/>
      <c r="D2143" s="99"/>
      <c r="E2143" s="80" t="s">
        <v>70</v>
      </c>
      <c r="F2143" s="62" t="s">
        <v>4</v>
      </c>
      <c r="G2143" s="225">
        <v>12</v>
      </c>
      <c r="H2143" s="289">
        <f t="shared" si="230"/>
        <v>0</v>
      </c>
      <c r="I2143" s="290">
        <f>ROUND($G2143*H2143,2)</f>
        <v>0</v>
      </c>
    </row>
    <row r="2144" spans="2:9" ht="22.8">
      <c r="B2144" s="368" t="s">
        <v>649</v>
      </c>
      <c r="C2144" s="98"/>
      <c r="D2144" s="98"/>
      <c r="E2144" s="139" t="s">
        <v>142</v>
      </c>
      <c r="F2144" s="62" t="s">
        <v>4</v>
      </c>
      <c r="G2144" s="225">
        <v>18</v>
      </c>
      <c r="H2144" s="289">
        <f t="shared" si="230"/>
        <v>0</v>
      </c>
      <c r="I2144" s="290">
        <f>ROUND($G2144*H2144,2)</f>
        <v>0</v>
      </c>
    </row>
    <row r="2145" spans="2:9" ht="12">
      <c r="B2145" s="367" t="s">
        <v>311</v>
      </c>
      <c r="C2145" s="60" t="s">
        <v>195</v>
      </c>
      <c r="D2145" s="60"/>
      <c r="E2145" s="90" t="s">
        <v>71</v>
      </c>
      <c r="F2145" s="140" t="s">
        <v>13</v>
      </c>
      <c r="G2145" s="234" t="s">
        <v>13</v>
      </c>
      <c r="H2145" s="289" t="s">
        <v>13</v>
      </c>
      <c r="I2145" s="269" t="s">
        <v>13</v>
      </c>
    </row>
    <row r="2146" spans="2:9" ht="57">
      <c r="B2146" s="368" t="s">
        <v>312</v>
      </c>
      <c r="C2146" s="66"/>
      <c r="D2146" s="66"/>
      <c r="E2146" s="141" t="s">
        <v>127</v>
      </c>
      <c r="F2146" s="137" t="s">
        <v>16</v>
      </c>
      <c r="G2146" s="68">
        <v>245</v>
      </c>
      <c r="H2146" s="289">
        <f>L2146*$K$5</f>
        <v>0</v>
      </c>
      <c r="I2146" s="290">
        <f>ROUND($G2146*H2146,2)</f>
        <v>0</v>
      </c>
    </row>
    <row r="2147" spans="2:9" ht="45.6">
      <c r="B2147" s="368" t="s">
        <v>313</v>
      </c>
      <c r="C2147" s="83"/>
      <c r="D2147" s="83"/>
      <c r="E2147" s="67" t="s">
        <v>125</v>
      </c>
      <c r="F2147" s="81" t="s">
        <v>16</v>
      </c>
      <c r="G2147" s="68">
        <v>46</v>
      </c>
      <c r="H2147" s="289">
        <f t="shared" si="230"/>
        <v>0</v>
      </c>
      <c r="I2147" s="290">
        <f>ROUND($G2147*H2147,2)</f>
        <v>0</v>
      </c>
    </row>
    <row r="2148" spans="2:9" ht="12">
      <c r="B2148" s="367" t="s">
        <v>314</v>
      </c>
      <c r="C2148" s="60" t="s">
        <v>170</v>
      </c>
      <c r="D2148" s="60"/>
      <c r="E2148" s="61" t="s">
        <v>72</v>
      </c>
      <c r="F2148" s="81" t="s">
        <v>13</v>
      </c>
      <c r="G2148" s="260" t="s">
        <v>13</v>
      </c>
      <c r="H2148" s="289" t="s">
        <v>13</v>
      </c>
      <c r="I2148" s="269" t="s">
        <v>13</v>
      </c>
    </row>
    <row r="2149" spans="2:9" ht="34.200000000000003">
      <c r="B2149" s="368" t="s">
        <v>315</v>
      </c>
      <c r="C2149" s="66"/>
      <c r="D2149" s="66"/>
      <c r="E2149" s="144" t="s">
        <v>148</v>
      </c>
      <c r="F2149" s="81" t="s">
        <v>4</v>
      </c>
      <c r="G2149" s="225">
        <v>4.2</v>
      </c>
      <c r="H2149" s="289">
        <f t="shared" si="230"/>
        <v>0</v>
      </c>
      <c r="I2149" s="290">
        <f>ROUND($G2149*H2149,2)</f>
        <v>0</v>
      </c>
    </row>
    <row r="2150" spans="2:9" ht="22.8">
      <c r="B2150" s="367" t="s">
        <v>316</v>
      </c>
      <c r="C2150" s="60" t="s">
        <v>196</v>
      </c>
      <c r="D2150" s="60"/>
      <c r="E2150" s="145" t="s">
        <v>131</v>
      </c>
      <c r="F2150" s="146" t="s">
        <v>13</v>
      </c>
      <c r="G2150" s="245" t="s">
        <v>13</v>
      </c>
      <c r="H2150" s="289" t="s">
        <v>13</v>
      </c>
      <c r="I2150" s="269" t="s">
        <v>13</v>
      </c>
    </row>
    <row r="2151" spans="2:9" ht="22.8">
      <c r="B2151" s="368" t="s">
        <v>317</v>
      </c>
      <c r="C2151" s="66"/>
      <c r="D2151" s="66"/>
      <c r="E2151" s="147" t="s">
        <v>147</v>
      </c>
      <c r="F2151" s="146" t="s">
        <v>4</v>
      </c>
      <c r="G2151" s="225">
        <v>1</v>
      </c>
      <c r="H2151" s="289">
        <f t="shared" si="230"/>
        <v>0</v>
      </c>
      <c r="I2151" s="290">
        <f>ROUND($G2151*H2151,2)</f>
        <v>0</v>
      </c>
    </row>
    <row r="2152" spans="2:9" ht="15.6">
      <c r="B2152" s="368" t="s">
        <v>318</v>
      </c>
      <c r="C2152" s="66"/>
      <c r="D2152" s="66"/>
      <c r="E2152" s="147" t="s">
        <v>145</v>
      </c>
      <c r="F2152" s="146" t="s">
        <v>76</v>
      </c>
      <c r="G2152" s="225">
        <v>2</v>
      </c>
      <c r="H2152" s="289">
        <f t="shared" si="230"/>
        <v>0</v>
      </c>
      <c r="I2152" s="290">
        <f>ROUND($G2152*H2152,2)</f>
        <v>0</v>
      </c>
    </row>
    <row r="2153" spans="2:9">
      <c r="B2153" s="368" t="s">
        <v>319</v>
      </c>
      <c r="C2153" s="206"/>
      <c r="D2153" s="285"/>
      <c r="E2153" s="138" t="s">
        <v>650</v>
      </c>
      <c r="F2153" s="136" t="s">
        <v>3</v>
      </c>
      <c r="G2153" s="225">
        <v>1</v>
      </c>
      <c r="H2153" s="289">
        <f t="shared" si="230"/>
        <v>0</v>
      </c>
      <c r="I2153" s="290">
        <f>ROUND($G2153*H2153,2)</f>
        <v>0</v>
      </c>
    </row>
    <row r="2154" spans="2:9" ht="22.8">
      <c r="B2154" s="367" t="s">
        <v>320</v>
      </c>
      <c r="C2154" s="74" t="s">
        <v>197</v>
      </c>
      <c r="D2154" s="74"/>
      <c r="E2154" s="148" t="s">
        <v>73</v>
      </c>
      <c r="F2154" s="81" t="s">
        <v>13</v>
      </c>
      <c r="G2154" s="228" t="s">
        <v>13</v>
      </c>
      <c r="H2154" s="289" t="s">
        <v>13</v>
      </c>
      <c r="I2154" s="269" t="s">
        <v>13</v>
      </c>
    </row>
    <row r="2155" spans="2:9">
      <c r="B2155" s="368" t="s">
        <v>321</v>
      </c>
      <c r="C2155" s="98"/>
      <c r="D2155" s="98"/>
      <c r="E2155" s="149" t="s">
        <v>74</v>
      </c>
      <c r="F2155" s="136" t="s">
        <v>3</v>
      </c>
      <c r="G2155" s="225">
        <v>1</v>
      </c>
      <c r="H2155" s="289">
        <f t="shared" si="230"/>
        <v>0</v>
      </c>
      <c r="I2155" s="290">
        <f>ROUND($G2155*H2155,2)</f>
        <v>0</v>
      </c>
    </row>
    <row r="2156" spans="2:9" ht="22.8">
      <c r="B2156" s="368" t="s">
        <v>322</v>
      </c>
      <c r="C2156" s="101"/>
      <c r="D2156" s="101"/>
      <c r="E2156" s="150" t="s">
        <v>128</v>
      </c>
      <c r="F2156" s="151" t="s">
        <v>3</v>
      </c>
      <c r="G2156" s="225">
        <v>24</v>
      </c>
      <c r="H2156" s="289">
        <f t="shared" si="230"/>
        <v>0</v>
      </c>
      <c r="I2156" s="290">
        <f>ROUND($G2156*H2156,2)</f>
        <v>0</v>
      </c>
    </row>
    <row r="2157" spans="2:9" ht="12">
      <c r="B2157" s="367" t="s">
        <v>323</v>
      </c>
      <c r="C2157" s="60" t="s">
        <v>198</v>
      </c>
      <c r="D2157" s="60"/>
      <c r="E2157" s="152" t="s">
        <v>75</v>
      </c>
      <c r="F2157" s="153" t="s">
        <v>13</v>
      </c>
      <c r="G2157" s="235" t="s">
        <v>13</v>
      </c>
      <c r="H2157" s="289" t="s">
        <v>13</v>
      </c>
      <c r="I2157" s="269" t="s">
        <v>13</v>
      </c>
    </row>
    <row r="2158" spans="2:9" ht="13.2">
      <c r="B2158" s="368" t="s">
        <v>324</v>
      </c>
      <c r="C2158" s="83"/>
      <c r="D2158" s="83"/>
      <c r="E2158" s="144" t="s">
        <v>164</v>
      </c>
      <c r="F2158" s="128" t="s">
        <v>16</v>
      </c>
      <c r="G2158" s="68">
        <v>115</v>
      </c>
      <c r="H2158" s="289">
        <f>L2158*$K$5</f>
        <v>0</v>
      </c>
      <c r="I2158" s="290">
        <f>ROUND($G2158*H2158,2)</f>
        <v>0</v>
      </c>
    </row>
    <row r="2159" spans="2:9" ht="12">
      <c r="B2159" s="367" t="s">
        <v>325</v>
      </c>
      <c r="C2159" s="60" t="s">
        <v>199</v>
      </c>
      <c r="D2159" s="60"/>
      <c r="E2159" s="152" t="s">
        <v>110</v>
      </c>
      <c r="F2159" s="151" t="s">
        <v>13</v>
      </c>
      <c r="G2159" s="245" t="s">
        <v>13</v>
      </c>
      <c r="H2159" s="289" t="s">
        <v>13</v>
      </c>
      <c r="I2159" s="269" t="s">
        <v>13</v>
      </c>
    </row>
    <row r="2160" spans="2:9" ht="22.8">
      <c r="B2160" s="370" t="s">
        <v>326</v>
      </c>
      <c r="C2160" s="66"/>
      <c r="D2160" s="82"/>
      <c r="E2160" s="155" t="s">
        <v>126</v>
      </c>
      <c r="F2160" s="81" t="s">
        <v>16</v>
      </c>
      <c r="G2160" s="225">
        <v>192</v>
      </c>
      <c r="H2160" s="289">
        <f t="shared" si="230"/>
        <v>0</v>
      </c>
      <c r="I2160" s="290">
        <f>ROUND($G2160*H2160,2)</f>
        <v>0</v>
      </c>
    </row>
    <row r="2161" spans="2:9" ht="22.8">
      <c r="B2161" s="370" t="s">
        <v>327</v>
      </c>
      <c r="C2161" s="83"/>
      <c r="D2161" s="84"/>
      <c r="E2161" s="156" t="s">
        <v>143</v>
      </c>
      <c r="F2161" s="81" t="s">
        <v>17</v>
      </c>
      <c r="G2161" s="225">
        <v>25</v>
      </c>
      <c r="H2161" s="289">
        <f>L2161*$K$5</f>
        <v>0</v>
      </c>
      <c r="I2161" s="290">
        <f>ROUND($G2161*H2161,2)</f>
        <v>0</v>
      </c>
    </row>
    <row r="2162" spans="2:9" ht="22.8">
      <c r="B2162" s="367" t="s">
        <v>361</v>
      </c>
      <c r="C2162" s="192" t="s">
        <v>362</v>
      </c>
      <c r="D2162" s="193"/>
      <c r="E2162" s="158" t="s">
        <v>162</v>
      </c>
      <c r="F2162" s="128" t="s">
        <v>13</v>
      </c>
      <c r="G2162" s="240" t="s">
        <v>13</v>
      </c>
      <c r="H2162" s="289" t="s">
        <v>13</v>
      </c>
      <c r="I2162" s="269" t="s">
        <v>13</v>
      </c>
    </row>
    <row r="2163" spans="2:9">
      <c r="B2163" s="370" t="s">
        <v>328</v>
      </c>
      <c r="C2163" s="83"/>
      <c r="D2163" s="159"/>
      <c r="E2163" s="158" t="s">
        <v>242</v>
      </c>
      <c r="F2163" s="81" t="s">
        <v>3</v>
      </c>
      <c r="G2163" s="225">
        <v>4</v>
      </c>
      <c r="H2163" s="289">
        <f t="shared" si="230"/>
        <v>0</v>
      </c>
      <c r="I2163" s="290">
        <f>ROUND($G2163*H2163,2)</f>
        <v>0</v>
      </c>
    </row>
    <row r="2164" spans="2:9" ht="13.2">
      <c r="B2164" s="369"/>
      <c r="C2164" s="12"/>
      <c r="D2164" s="25"/>
      <c r="E2164" s="14" t="s">
        <v>77</v>
      </c>
      <c r="F2164" s="13"/>
      <c r="G2164" s="96"/>
      <c r="H2164" s="41" t="s">
        <v>13</v>
      </c>
      <c r="I2164" s="34" t="s">
        <v>13</v>
      </c>
    </row>
    <row r="2165" spans="2:9" ht="13.8">
      <c r="B2165" s="367"/>
      <c r="C2165" s="571" t="s">
        <v>332</v>
      </c>
      <c r="D2165" s="572"/>
      <c r="E2165" s="573"/>
      <c r="F2165" s="286"/>
      <c r="G2165" s="161"/>
      <c r="H2165" s="33" t="s">
        <v>13</v>
      </c>
      <c r="I2165" s="10">
        <f>SUM(I2065:I2163)</f>
        <v>0</v>
      </c>
    </row>
    <row r="2166" spans="2:9" ht="26.4">
      <c r="B2166" s="205" t="s">
        <v>334</v>
      </c>
      <c r="C2166" s="563" t="s">
        <v>655</v>
      </c>
      <c r="D2166" s="564"/>
      <c r="E2166" s="565"/>
      <c r="F2166" s="565"/>
      <c r="G2166" s="565"/>
      <c r="H2166" s="565"/>
      <c r="I2166" s="566"/>
    </row>
    <row r="2167" spans="2:9" ht="24">
      <c r="B2167" s="204" t="s">
        <v>0</v>
      </c>
      <c r="C2167" s="404" t="s">
        <v>210</v>
      </c>
      <c r="D2167" s="404" t="s">
        <v>333</v>
      </c>
      <c r="E2167" s="405" t="s">
        <v>203</v>
      </c>
      <c r="F2167" s="310" t="s">
        <v>204</v>
      </c>
      <c r="G2167" s="405" t="s">
        <v>1</v>
      </c>
      <c r="H2167" s="41" t="s">
        <v>111</v>
      </c>
      <c r="I2167" s="406" t="s">
        <v>112</v>
      </c>
    </row>
    <row r="2168" spans="2:9" ht="13.2">
      <c r="B2168" s="367" t="s">
        <v>247</v>
      </c>
      <c r="C2168" s="375" t="s">
        <v>171</v>
      </c>
      <c r="D2168" s="374"/>
      <c r="E2168" s="376" t="s">
        <v>14</v>
      </c>
      <c r="F2168" s="377"/>
      <c r="G2168" s="378"/>
      <c r="H2168" s="379"/>
      <c r="I2168" s="380"/>
    </row>
    <row r="2169" spans="2:9" ht="13.2">
      <c r="B2169" s="367" t="s">
        <v>439</v>
      </c>
      <c r="C2169" s="375" t="s">
        <v>440</v>
      </c>
      <c r="D2169" s="374"/>
      <c r="E2169" s="376" t="s">
        <v>441</v>
      </c>
      <c r="F2169" s="377"/>
      <c r="G2169" s="396"/>
      <c r="H2169" s="441"/>
      <c r="I2169" s="442"/>
    </row>
    <row r="2170" spans="2:9">
      <c r="B2170" s="368" t="s">
        <v>656</v>
      </c>
      <c r="C2170" s="197" t="s">
        <v>443</v>
      </c>
      <c r="D2170" s="294"/>
      <c r="E2170" s="174" t="s">
        <v>444</v>
      </c>
      <c r="F2170" s="295" t="s">
        <v>13</v>
      </c>
      <c r="G2170" s="296" t="s">
        <v>13</v>
      </c>
      <c r="H2170" s="276"/>
      <c r="I2170" s="48" t="s">
        <v>13</v>
      </c>
    </row>
    <row r="2171" spans="2:9" ht="22.8">
      <c r="B2171" s="368" t="s">
        <v>249</v>
      </c>
      <c r="C2171" s="200"/>
      <c r="D2171" s="201"/>
      <c r="E2171" s="297" t="s">
        <v>657</v>
      </c>
      <c r="F2171" s="295" t="s">
        <v>17</v>
      </c>
      <c r="G2171" s="298">
        <v>1105</v>
      </c>
      <c r="H2171" s="289">
        <f>L2171*$K$5</f>
        <v>0</v>
      </c>
      <c r="I2171" s="290">
        <f>ROUND($G2171*H2171,2)</f>
        <v>0</v>
      </c>
    </row>
    <row r="2172" spans="2:9" ht="12">
      <c r="B2172" s="369"/>
      <c r="C2172" s="129"/>
      <c r="D2172" s="130"/>
      <c r="E2172" s="87" t="s">
        <v>447</v>
      </c>
      <c r="F2172" s="13" t="s">
        <v>153</v>
      </c>
      <c r="G2172" s="134"/>
      <c r="H2172" s="41"/>
      <c r="I2172" s="34" t="s">
        <v>13</v>
      </c>
    </row>
    <row r="2173" spans="2:9" ht="13.2">
      <c r="B2173" s="367" t="s">
        <v>250</v>
      </c>
      <c r="C2173" s="375" t="s">
        <v>172</v>
      </c>
      <c r="D2173" s="374"/>
      <c r="E2173" s="376" t="s">
        <v>20</v>
      </c>
      <c r="F2173" s="377"/>
      <c r="G2173" s="396"/>
      <c r="H2173" s="441"/>
      <c r="I2173" s="442"/>
    </row>
    <row r="2174" spans="2:9" ht="24">
      <c r="B2174" s="367"/>
      <c r="C2174" s="71"/>
      <c r="D2174" s="72"/>
      <c r="E2174" s="73" t="s">
        <v>241</v>
      </c>
      <c r="F2174" s="30"/>
      <c r="G2174" s="47"/>
      <c r="H2174" s="44"/>
      <c r="I2174" s="44"/>
    </row>
    <row r="2175" spans="2:9" ht="12">
      <c r="B2175" s="367" t="s">
        <v>251</v>
      </c>
      <c r="C2175" s="74" t="s">
        <v>173</v>
      </c>
      <c r="D2175" s="75"/>
      <c r="E2175" s="76" t="s">
        <v>115</v>
      </c>
      <c r="F2175" s="62" t="s">
        <v>13</v>
      </c>
      <c r="G2175" s="63" t="s">
        <v>13</v>
      </c>
      <c r="H2175" s="276" t="s">
        <v>13</v>
      </c>
      <c r="I2175" s="269" t="s">
        <v>13</v>
      </c>
    </row>
    <row r="2176" spans="2:9">
      <c r="B2176" s="369"/>
      <c r="C2176" s="77"/>
      <c r="D2176" s="78"/>
      <c r="E2176" s="79" t="s">
        <v>117</v>
      </c>
      <c r="F2176" s="62" t="s">
        <v>13</v>
      </c>
      <c r="G2176" s="63" t="s">
        <v>13</v>
      </c>
      <c r="H2176" s="276" t="s">
        <v>13</v>
      </c>
      <c r="I2176" s="269" t="s">
        <v>13</v>
      </c>
    </row>
    <row r="2177" spans="2:9">
      <c r="B2177" s="368" t="s">
        <v>252</v>
      </c>
      <c r="C2177" s="66"/>
      <c r="D2177" s="82"/>
      <c r="E2177" s="80" t="s">
        <v>365</v>
      </c>
      <c r="F2177" s="81" t="s">
        <v>23</v>
      </c>
      <c r="G2177" s="299">
        <v>14420</v>
      </c>
      <c r="H2177" s="289">
        <f>L2177*$K$5</f>
        <v>0</v>
      </c>
      <c r="I2177" s="290">
        <f t="shared" ref="I2177:I2178" si="231">ROUND($G2177*H2177,2)</f>
        <v>0</v>
      </c>
    </row>
    <row r="2178" spans="2:9">
      <c r="B2178" s="368" t="s">
        <v>253</v>
      </c>
      <c r="C2178" s="66"/>
      <c r="D2178" s="82"/>
      <c r="E2178" s="80" t="s">
        <v>163</v>
      </c>
      <c r="F2178" s="81" t="s">
        <v>23</v>
      </c>
      <c r="G2178" s="165">
        <v>1509</v>
      </c>
      <c r="H2178" s="289">
        <f>L2178*$K$5</f>
        <v>0</v>
      </c>
      <c r="I2178" s="290">
        <f t="shared" si="231"/>
        <v>0</v>
      </c>
    </row>
    <row r="2179" spans="2:9" ht="12">
      <c r="B2179" s="369"/>
      <c r="C2179" s="83"/>
      <c r="D2179" s="84"/>
      <c r="E2179" s="87" t="s">
        <v>26</v>
      </c>
      <c r="F2179" s="81" t="s">
        <v>153</v>
      </c>
      <c r="G2179" s="45"/>
      <c r="H2179" s="41"/>
      <c r="I2179" s="34" t="s">
        <v>13</v>
      </c>
    </row>
    <row r="2180" spans="2:9" ht="13.2">
      <c r="B2180" s="367" t="s">
        <v>256</v>
      </c>
      <c r="C2180" s="375" t="s">
        <v>174</v>
      </c>
      <c r="D2180" s="374"/>
      <c r="E2180" s="376" t="s">
        <v>27</v>
      </c>
      <c r="F2180" s="377"/>
      <c r="G2180" s="396"/>
      <c r="H2180" s="441"/>
      <c r="I2180" s="442"/>
    </row>
    <row r="2181" spans="2:9" ht="24">
      <c r="B2181" s="367"/>
      <c r="C2181" s="71"/>
      <c r="D2181" s="72"/>
      <c r="E2181" s="73" t="s">
        <v>241</v>
      </c>
      <c r="F2181" s="30"/>
      <c r="G2181" s="47"/>
      <c r="H2181" s="44"/>
      <c r="I2181" s="44"/>
    </row>
    <row r="2182" spans="2:9" ht="12">
      <c r="B2182" s="367" t="s">
        <v>257</v>
      </c>
      <c r="C2182" s="74" t="s">
        <v>175</v>
      </c>
      <c r="D2182" s="75"/>
      <c r="E2182" s="76" t="s">
        <v>29</v>
      </c>
      <c r="F2182" s="62" t="s">
        <v>13</v>
      </c>
      <c r="G2182" s="276" t="s">
        <v>13</v>
      </c>
      <c r="H2182" s="276" t="s">
        <v>13</v>
      </c>
      <c r="I2182" s="269" t="s">
        <v>13</v>
      </c>
    </row>
    <row r="2183" spans="2:9" ht="22.8">
      <c r="B2183" s="368" t="s">
        <v>258</v>
      </c>
      <c r="C2183" s="98"/>
      <c r="D2183" s="99"/>
      <c r="E2183" s="76" t="s">
        <v>367</v>
      </c>
      <c r="F2183" s="62" t="s">
        <v>17</v>
      </c>
      <c r="G2183" s="299">
        <v>90</v>
      </c>
      <c r="H2183" s="289">
        <f>L2183*$K$5</f>
        <v>0</v>
      </c>
      <c r="I2183" s="290">
        <f>ROUND($G2183*H2183,2)</f>
        <v>0</v>
      </c>
    </row>
    <row r="2184" spans="2:9" ht="12">
      <c r="B2184" s="367" t="s">
        <v>259</v>
      </c>
      <c r="C2184" s="66" t="s">
        <v>176</v>
      </c>
      <c r="D2184" s="66"/>
      <c r="E2184" s="90" t="s">
        <v>31</v>
      </c>
      <c r="F2184" s="81" t="s">
        <v>13</v>
      </c>
      <c r="G2184" s="291" t="s">
        <v>13</v>
      </c>
      <c r="H2184" s="289" t="s">
        <v>13</v>
      </c>
      <c r="I2184" s="269" t="s">
        <v>13</v>
      </c>
    </row>
    <row r="2185" spans="2:9" ht="22.8">
      <c r="B2185" s="368" t="s">
        <v>260</v>
      </c>
      <c r="C2185" s="66"/>
      <c r="D2185" s="66"/>
      <c r="E2185" s="67" t="s">
        <v>658</v>
      </c>
      <c r="F2185" s="62" t="s">
        <v>17</v>
      </c>
      <c r="G2185" s="299">
        <v>18</v>
      </c>
      <c r="H2185" s="289">
        <f t="shared" ref="H2185:H2189" si="232">L2185*$K$5</f>
        <v>0</v>
      </c>
      <c r="I2185" s="290">
        <f>ROUND($G2185*H2185,2)</f>
        <v>0</v>
      </c>
    </row>
    <row r="2186" spans="2:9" ht="13.2">
      <c r="B2186" s="369"/>
      <c r="C2186" s="62"/>
      <c r="D2186" s="95"/>
      <c r="E2186" s="87" t="s">
        <v>39</v>
      </c>
      <c r="F2186" s="62" t="s">
        <v>153</v>
      </c>
      <c r="G2186" s="96"/>
      <c r="H2186"/>
      <c r="I2186" s="34" t="s">
        <v>13</v>
      </c>
    </row>
    <row r="2187" spans="2:9" ht="12">
      <c r="B2187" s="367" t="s">
        <v>261</v>
      </c>
      <c r="C2187" s="74" t="s">
        <v>181</v>
      </c>
      <c r="D2187" s="75"/>
      <c r="E2187" s="97" t="s">
        <v>139</v>
      </c>
      <c r="F2187" s="62" t="s">
        <v>13</v>
      </c>
      <c r="G2187" s="276" t="s">
        <v>13</v>
      </c>
      <c r="H2187" s="289" t="s">
        <v>13</v>
      </c>
      <c r="I2187" s="269" t="s">
        <v>13</v>
      </c>
    </row>
    <row r="2188" spans="2:9" ht="22.8">
      <c r="B2188" s="368" t="s">
        <v>262</v>
      </c>
      <c r="C2188" s="98"/>
      <c r="D2188" s="99"/>
      <c r="E2188" s="100" t="s">
        <v>140</v>
      </c>
      <c r="F2188" s="62" t="s">
        <v>17</v>
      </c>
      <c r="G2188" s="299">
        <v>35</v>
      </c>
      <c r="H2188" s="289">
        <f t="shared" si="232"/>
        <v>0</v>
      </c>
      <c r="I2188" s="290">
        <f t="shared" ref="I2188:I2189" si="233">ROUND($G2188*H2188,2)</f>
        <v>0</v>
      </c>
    </row>
    <row r="2189" spans="2:9" ht="22.8">
      <c r="B2189" s="368" t="s">
        <v>515</v>
      </c>
      <c r="C2189" s="103"/>
      <c r="D2189" s="104"/>
      <c r="E2189" s="100" t="s">
        <v>141</v>
      </c>
      <c r="F2189" s="62" t="s">
        <v>17</v>
      </c>
      <c r="G2189" s="299">
        <v>4</v>
      </c>
      <c r="H2189" s="289">
        <f t="shared" si="232"/>
        <v>0</v>
      </c>
      <c r="I2189" s="290">
        <f t="shared" si="233"/>
        <v>0</v>
      </c>
    </row>
    <row r="2190" spans="2:9" ht="12">
      <c r="B2190" s="369"/>
      <c r="C2190" s="103"/>
      <c r="D2190" s="104"/>
      <c r="E2190" s="87" t="s">
        <v>43</v>
      </c>
      <c r="F2190" s="62" t="s">
        <v>153</v>
      </c>
      <c r="G2190" s="46"/>
      <c r="H2190" s="41"/>
      <c r="I2190" s="34" t="s">
        <v>13</v>
      </c>
    </row>
    <row r="2191" spans="2:9" ht="13.2">
      <c r="B2191" s="367" t="s">
        <v>272</v>
      </c>
      <c r="C2191" s="375" t="s">
        <v>200</v>
      </c>
      <c r="D2191" s="374"/>
      <c r="E2191" s="376" t="s">
        <v>44</v>
      </c>
      <c r="F2191" s="377"/>
      <c r="G2191" s="444"/>
      <c r="H2191" s="441"/>
      <c r="I2191" s="442"/>
    </row>
    <row r="2192" spans="2:9" ht="24">
      <c r="B2192" s="367"/>
      <c r="C2192" s="71"/>
      <c r="D2192" s="72"/>
      <c r="E2192" s="73" t="s">
        <v>241</v>
      </c>
      <c r="F2192" s="30"/>
      <c r="G2192" s="300"/>
      <c r="H2192" s="44"/>
      <c r="I2192" s="44"/>
    </row>
    <row r="2193" spans="2:9" ht="22.8">
      <c r="B2193" s="368" t="s">
        <v>659</v>
      </c>
      <c r="C2193" s="74" t="s">
        <v>355</v>
      </c>
      <c r="D2193" s="74"/>
      <c r="E2193" s="110" t="s">
        <v>357</v>
      </c>
      <c r="F2193" s="109" t="s">
        <v>13</v>
      </c>
      <c r="G2193" s="48" t="s">
        <v>13</v>
      </c>
      <c r="H2193" s="291" t="s">
        <v>13</v>
      </c>
      <c r="I2193" s="48" t="s">
        <v>13</v>
      </c>
    </row>
    <row r="2194" spans="2:9" ht="22.8">
      <c r="B2194" s="368" t="s">
        <v>330</v>
      </c>
      <c r="C2194" s="206"/>
      <c r="D2194" s="206"/>
      <c r="E2194" s="90" t="s">
        <v>154</v>
      </c>
      <c r="F2194" s="62" t="s">
        <v>15</v>
      </c>
      <c r="G2194" s="299">
        <v>175</v>
      </c>
      <c r="H2194" s="289">
        <f>L2194*$K$5</f>
        <v>0</v>
      </c>
      <c r="I2194" s="290">
        <f>ROUND($G2194*H2194,2)</f>
        <v>0</v>
      </c>
    </row>
    <row r="2195" spans="2:9" ht="12">
      <c r="B2195" s="369"/>
      <c r="C2195" s="12"/>
      <c r="D2195" s="25"/>
      <c r="E2195" s="87" t="s">
        <v>46</v>
      </c>
      <c r="F2195" s="13" t="s">
        <v>153</v>
      </c>
      <c r="G2195" s="96"/>
      <c r="H2195" s="41"/>
      <c r="I2195" s="34" t="s">
        <v>13</v>
      </c>
    </row>
    <row r="2196" spans="2:9" ht="13.2">
      <c r="B2196" s="367" t="s">
        <v>275</v>
      </c>
      <c r="C2196" s="375" t="s">
        <v>201</v>
      </c>
      <c r="D2196" s="374"/>
      <c r="E2196" s="407" t="s">
        <v>380</v>
      </c>
      <c r="F2196" s="377"/>
      <c r="G2196" s="396"/>
      <c r="H2196" s="441"/>
      <c r="I2196" s="442"/>
    </row>
    <row r="2197" spans="2:9" ht="24">
      <c r="B2197" s="367"/>
      <c r="C2197" s="71"/>
      <c r="D2197" s="72"/>
      <c r="E2197" s="73" t="s">
        <v>241</v>
      </c>
      <c r="F2197" s="30"/>
      <c r="G2197" s="47"/>
      <c r="H2197" s="44"/>
      <c r="I2197" s="44"/>
    </row>
    <row r="2198" spans="2:9" ht="12">
      <c r="B2198" s="367" t="s">
        <v>276</v>
      </c>
      <c r="C2198" s="60" t="s">
        <v>182</v>
      </c>
      <c r="D2198" s="60"/>
      <c r="E2198" s="90" t="s">
        <v>49</v>
      </c>
      <c r="F2198" s="62" t="s">
        <v>13</v>
      </c>
      <c r="G2198" s="276" t="s">
        <v>13</v>
      </c>
      <c r="H2198" s="276" t="s">
        <v>13</v>
      </c>
      <c r="I2198" s="269" t="s">
        <v>13</v>
      </c>
    </row>
    <row r="2199" spans="2:9" ht="34.200000000000003">
      <c r="B2199" s="368" t="s">
        <v>277</v>
      </c>
      <c r="C2199" s="66"/>
      <c r="D2199" s="66"/>
      <c r="E2199" s="92" t="s">
        <v>602</v>
      </c>
      <c r="F2199" s="62" t="s">
        <v>15</v>
      </c>
      <c r="G2199" s="299">
        <v>225</v>
      </c>
      <c r="H2199" s="289">
        <f>L2199*$K$5</f>
        <v>0</v>
      </c>
      <c r="I2199" s="290">
        <f>ROUND($G2199*H2199,2)</f>
        <v>0</v>
      </c>
    </row>
    <row r="2200" spans="2:9" ht="45.6">
      <c r="B2200" s="368" t="s">
        <v>278</v>
      </c>
      <c r="C2200" s="83"/>
      <c r="D2200" s="83"/>
      <c r="E2200" s="92" t="s">
        <v>149</v>
      </c>
      <c r="F2200" s="62" t="s">
        <v>15</v>
      </c>
      <c r="G2200" s="299">
        <v>30</v>
      </c>
      <c r="H2200" s="289">
        <f t="shared" ref="H2200:H2202" si="234">L2200*$K$5</f>
        <v>0</v>
      </c>
      <c r="I2200" s="290">
        <f>ROUND($G2200*H2200,2)</f>
        <v>0</v>
      </c>
    </row>
    <row r="2201" spans="2:9" ht="12">
      <c r="B2201" s="367" t="s">
        <v>279</v>
      </c>
      <c r="C2201" s="74" t="s">
        <v>185</v>
      </c>
      <c r="D2201" s="74"/>
      <c r="E2201" s="90" t="s">
        <v>151</v>
      </c>
      <c r="F2201" s="81" t="s">
        <v>13</v>
      </c>
      <c r="G2201" s="291" t="s">
        <v>13</v>
      </c>
      <c r="H2201" s="289" t="s">
        <v>13</v>
      </c>
      <c r="I2201" s="269" t="s">
        <v>13</v>
      </c>
    </row>
    <row r="2202" spans="2:9" ht="22.8">
      <c r="B2202" s="368" t="s">
        <v>280</v>
      </c>
      <c r="C2202" s="98"/>
      <c r="D2202" s="98"/>
      <c r="E2202" s="90" t="s">
        <v>152</v>
      </c>
      <c r="F2202" s="83" t="s">
        <v>15</v>
      </c>
      <c r="G2202" s="299">
        <v>225</v>
      </c>
      <c r="H2202" s="289">
        <f t="shared" si="234"/>
        <v>0</v>
      </c>
      <c r="I2202" s="290">
        <f>ROUND($G2202*H2202,2)</f>
        <v>0</v>
      </c>
    </row>
    <row r="2203" spans="2:9" ht="12">
      <c r="B2203" s="369"/>
      <c r="C2203" s="12"/>
      <c r="D2203" s="25"/>
      <c r="E2203" s="87" t="s">
        <v>58</v>
      </c>
      <c r="F2203" s="13" t="s">
        <v>153</v>
      </c>
      <c r="G2203" s="96"/>
      <c r="H2203" s="41"/>
      <c r="I2203" s="34" t="s">
        <v>13</v>
      </c>
    </row>
    <row r="2204" spans="2:9" ht="13.2">
      <c r="B2204" s="367" t="s">
        <v>292</v>
      </c>
      <c r="C2204" s="375" t="s">
        <v>188</v>
      </c>
      <c r="D2204" s="374"/>
      <c r="E2204" s="376" t="s">
        <v>59</v>
      </c>
      <c r="F2204" s="377"/>
      <c r="G2204" s="396"/>
      <c r="H2204" s="441"/>
      <c r="I2204" s="442"/>
    </row>
    <row r="2205" spans="2:9" ht="24">
      <c r="B2205" s="367"/>
      <c r="C2205" s="71"/>
      <c r="D2205" s="72"/>
      <c r="E2205" s="73" t="s">
        <v>241</v>
      </c>
      <c r="F2205" s="30"/>
      <c r="G2205" s="47"/>
      <c r="H2205" s="44"/>
      <c r="I2205" s="44"/>
    </row>
    <row r="2206" spans="2:9" ht="12">
      <c r="B2206" s="367" t="s">
        <v>293</v>
      </c>
      <c r="C2206" s="120" t="s">
        <v>189</v>
      </c>
      <c r="D2206" s="121"/>
      <c r="E2206" s="122" t="s">
        <v>60</v>
      </c>
      <c r="F2206" s="62" t="s">
        <v>13</v>
      </c>
      <c r="G2206" s="276" t="s">
        <v>13</v>
      </c>
      <c r="H2206" s="276" t="s">
        <v>13</v>
      </c>
      <c r="I2206" s="269" t="s">
        <v>13</v>
      </c>
    </row>
    <row r="2207" spans="2:9">
      <c r="B2207" s="368" t="s">
        <v>294</v>
      </c>
      <c r="C2207" s="123"/>
      <c r="D2207" s="124"/>
      <c r="E2207" s="80" t="s">
        <v>660</v>
      </c>
      <c r="F2207" s="81" t="s">
        <v>4</v>
      </c>
      <c r="G2207" s="299">
        <v>4.8</v>
      </c>
      <c r="H2207" s="289">
        <f>L2207*$K$5</f>
        <v>0</v>
      </c>
      <c r="I2207" s="290">
        <f t="shared" ref="I2207:I2208" si="235">ROUND($G2207*H2207,2)</f>
        <v>0</v>
      </c>
    </row>
    <row r="2208" spans="2:9" ht="34.200000000000003">
      <c r="B2208" s="368" t="s">
        <v>295</v>
      </c>
      <c r="C2208" s="125"/>
      <c r="D2208" s="126"/>
      <c r="E2208" s="127" t="s">
        <v>144</v>
      </c>
      <c r="F2208" s="128" t="s">
        <v>4</v>
      </c>
      <c r="G2208" s="299">
        <v>8</v>
      </c>
      <c r="H2208" s="289">
        <f>L2208*$K$5</f>
        <v>0</v>
      </c>
      <c r="I2208" s="290">
        <f t="shared" si="235"/>
        <v>0</v>
      </c>
    </row>
    <row r="2209" spans="2:9" ht="12">
      <c r="B2209" s="369"/>
      <c r="C2209" s="129"/>
      <c r="D2209" s="130"/>
      <c r="E2209" s="87" t="s">
        <v>61</v>
      </c>
      <c r="F2209" s="13" t="s">
        <v>153</v>
      </c>
      <c r="G2209" s="119"/>
      <c r="H2209" s="41"/>
      <c r="I2209" s="34" t="s">
        <v>13</v>
      </c>
    </row>
    <row r="2210" spans="2:9" ht="13.2">
      <c r="B2210" s="367" t="s">
        <v>297</v>
      </c>
      <c r="C2210" s="375" t="s">
        <v>190</v>
      </c>
      <c r="D2210" s="374"/>
      <c r="E2210" s="376" t="s">
        <v>62</v>
      </c>
      <c r="F2210" s="377"/>
      <c r="G2210" s="396"/>
      <c r="H2210" s="441"/>
      <c r="I2210" s="442"/>
    </row>
    <row r="2211" spans="2:9" ht="24">
      <c r="B2211" s="367"/>
      <c r="C2211" s="71"/>
      <c r="D2211" s="72"/>
      <c r="E2211" s="73" t="s">
        <v>241</v>
      </c>
      <c r="F2211" s="30"/>
      <c r="G2211" s="36"/>
      <c r="H2211" s="44"/>
      <c r="I2211" s="44"/>
    </row>
    <row r="2212" spans="2:9" ht="12">
      <c r="B2212" s="367" t="s">
        <v>298</v>
      </c>
      <c r="C2212" s="60" t="s">
        <v>191</v>
      </c>
      <c r="D2212" s="60"/>
      <c r="E2212" s="90" t="s">
        <v>244</v>
      </c>
      <c r="F2212" s="62" t="s">
        <v>13</v>
      </c>
      <c r="G2212" s="276" t="s">
        <v>13</v>
      </c>
      <c r="H2212" s="276" t="s">
        <v>13</v>
      </c>
      <c r="I2212" s="269" t="s">
        <v>13</v>
      </c>
    </row>
    <row r="2213" spans="2:9" ht="22.8">
      <c r="B2213" s="368" t="s">
        <v>299</v>
      </c>
      <c r="C2213" s="66"/>
      <c r="D2213" s="66"/>
      <c r="E2213" s="133" t="s">
        <v>246</v>
      </c>
      <c r="F2213" s="132" t="s">
        <v>23</v>
      </c>
      <c r="G2213" s="299">
        <v>1110</v>
      </c>
      <c r="H2213" s="289">
        <f>L2213*$K$5</f>
        <v>0</v>
      </c>
      <c r="I2213" s="290">
        <f>ROUND($G2213*H2213,2)</f>
        <v>0</v>
      </c>
    </row>
    <row r="2214" spans="2:9" ht="12">
      <c r="B2214" s="369"/>
      <c r="C2214" s="12"/>
      <c r="D2214" s="25"/>
      <c r="E2214" s="87" t="s">
        <v>63</v>
      </c>
      <c r="F2214" s="13"/>
      <c r="G2214" s="134"/>
      <c r="H2214" s="41"/>
      <c r="I2214" s="34" t="s">
        <v>13</v>
      </c>
    </row>
    <row r="2215" spans="2:9" ht="13.2">
      <c r="B2215" s="367" t="s">
        <v>301</v>
      </c>
      <c r="C2215" s="375" t="s">
        <v>192</v>
      </c>
      <c r="D2215" s="374"/>
      <c r="E2215" s="376" t="s">
        <v>64</v>
      </c>
      <c r="F2215" s="377"/>
      <c r="G2215" s="396"/>
      <c r="H2215" s="441"/>
      <c r="I2215" s="442"/>
    </row>
    <row r="2216" spans="2:9" ht="24">
      <c r="B2216" s="367"/>
      <c r="C2216" s="71"/>
      <c r="D2216" s="72"/>
      <c r="E2216" s="73" t="s">
        <v>241</v>
      </c>
      <c r="F2216" s="30"/>
      <c r="G2216" s="47"/>
      <c r="H2216" s="44"/>
      <c r="I2216" s="44"/>
    </row>
    <row r="2217" spans="2:9" ht="12">
      <c r="B2217" s="367" t="s">
        <v>302</v>
      </c>
      <c r="C2217" s="74" t="s">
        <v>169</v>
      </c>
      <c r="D2217" s="75"/>
      <c r="E2217" s="122" t="s">
        <v>69</v>
      </c>
      <c r="F2217" s="62" t="s">
        <v>13</v>
      </c>
      <c r="G2217" s="276" t="s">
        <v>13</v>
      </c>
      <c r="H2217" s="276" t="s">
        <v>13</v>
      </c>
      <c r="I2217" s="269" t="s">
        <v>13</v>
      </c>
    </row>
    <row r="2218" spans="2:9" ht="22.8">
      <c r="B2218" s="368" t="s">
        <v>303</v>
      </c>
      <c r="C2218" s="98"/>
      <c r="D2218" s="99"/>
      <c r="E2218" s="301" t="s">
        <v>661</v>
      </c>
      <c r="F2218" s="81" t="s">
        <v>16</v>
      </c>
      <c r="G2218" s="299">
        <v>350</v>
      </c>
      <c r="H2218" s="289">
        <f>L2218*$K$5</f>
        <v>0</v>
      </c>
      <c r="I2218" s="290">
        <f t="shared" ref="I2218:I2220" si="236">ROUND($G2218*H2218,2)</f>
        <v>0</v>
      </c>
    </row>
    <row r="2219" spans="2:9" ht="22.8">
      <c r="B2219" s="368" t="s">
        <v>632</v>
      </c>
      <c r="C2219" s="98"/>
      <c r="D2219" s="99"/>
      <c r="E2219" s="80" t="s">
        <v>70</v>
      </c>
      <c r="F2219" s="62" t="s">
        <v>4</v>
      </c>
      <c r="G2219" s="299">
        <v>58</v>
      </c>
      <c r="H2219" s="289">
        <f t="shared" ref="H2219:H2229" si="237">L2219*$K$5</f>
        <v>0</v>
      </c>
      <c r="I2219" s="290">
        <f t="shared" si="236"/>
        <v>0</v>
      </c>
    </row>
    <row r="2220" spans="2:9" ht="22.8">
      <c r="B2220" s="368" t="s">
        <v>662</v>
      </c>
      <c r="C2220" s="98"/>
      <c r="D2220" s="98"/>
      <c r="E2220" s="139" t="s">
        <v>142</v>
      </c>
      <c r="F2220" s="62" t="s">
        <v>4</v>
      </c>
      <c r="G2220" s="299">
        <v>14.5</v>
      </c>
      <c r="H2220" s="289">
        <f t="shared" si="237"/>
        <v>0</v>
      </c>
      <c r="I2220" s="290">
        <f t="shared" si="236"/>
        <v>0</v>
      </c>
    </row>
    <row r="2221" spans="2:9" ht="12">
      <c r="B2221" s="367" t="s">
        <v>304</v>
      </c>
      <c r="C2221" s="60" t="s">
        <v>195</v>
      </c>
      <c r="D2221" s="60"/>
      <c r="E2221" s="90" t="s">
        <v>71</v>
      </c>
      <c r="F2221" s="140" t="s">
        <v>13</v>
      </c>
      <c r="G2221" s="140" t="s">
        <v>13</v>
      </c>
      <c r="H2221" s="289" t="s">
        <v>13</v>
      </c>
      <c r="I2221" s="269" t="s">
        <v>13</v>
      </c>
    </row>
    <row r="2222" spans="2:9" ht="45.6">
      <c r="B2222" s="368" t="s">
        <v>305</v>
      </c>
      <c r="C2222" s="83"/>
      <c r="D2222" s="83"/>
      <c r="E2222" s="67" t="s">
        <v>125</v>
      </c>
      <c r="F2222" s="81" t="s">
        <v>16</v>
      </c>
      <c r="G2222" s="299">
        <v>87</v>
      </c>
      <c r="H2222" s="289">
        <f t="shared" si="237"/>
        <v>0</v>
      </c>
      <c r="I2222" s="290">
        <f>ROUND($G2222*H2222,2)</f>
        <v>0</v>
      </c>
    </row>
    <row r="2223" spans="2:9" ht="12">
      <c r="B2223" s="367" t="s">
        <v>307</v>
      </c>
      <c r="C2223" s="60" t="s">
        <v>170</v>
      </c>
      <c r="D2223" s="60"/>
      <c r="E2223" s="61" t="s">
        <v>72</v>
      </c>
      <c r="F2223" s="81" t="s">
        <v>13</v>
      </c>
      <c r="G2223" s="260" t="s">
        <v>13</v>
      </c>
      <c r="H2223" s="289" t="s">
        <v>13</v>
      </c>
      <c r="I2223" s="269" t="s">
        <v>13</v>
      </c>
    </row>
    <row r="2224" spans="2:9" ht="34.200000000000003">
      <c r="B2224" s="368" t="s">
        <v>308</v>
      </c>
      <c r="C2224" s="66"/>
      <c r="D2224" s="66"/>
      <c r="E2224" s="144" t="s">
        <v>148</v>
      </c>
      <c r="F2224" s="81" t="s">
        <v>4</v>
      </c>
      <c r="G2224" s="299">
        <v>23</v>
      </c>
      <c r="H2224" s="289">
        <f t="shared" si="237"/>
        <v>0</v>
      </c>
      <c r="I2224" s="290">
        <f>ROUND($G2224*H2224,2)</f>
        <v>0</v>
      </c>
    </row>
    <row r="2225" spans="2:9" ht="22.8">
      <c r="B2225" s="367" t="s">
        <v>557</v>
      </c>
      <c r="C2225" s="60" t="s">
        <v>196</v>
      </c>
      <c r="D2225" s="60"/>
      <c r="E2225" s="145" t="s">
        <v>131</v>
      </c>
      <c r="F2225" s="146" t="s">
        <v>13</v>
      </c>
      <c r="G2225" s="302" t="s">
        <v>13</v>
      </c>
      <c r="H2225" s="289" t="s">
        <v>13</v>
      </c>
      <c r="I2225" s="269" t="s">
        <v>13</v>
      </c>
    </row>
    <row r="2226" spans="2:9" ht="34.200000000000003">
      <c r="B2226" s="368" t="s">
        <v>558</v>
      </c>
      <c r="C2226" s="66"/>
      <c r="D2226" s="66"/>
      <c r="E2226" s="147" t="s">
        <v>529</v>
      </c>
      <c r="F2226" s="146" t="s">
        <v>4</v>
      </c>
      <c r="G2226" s="299">
        <v>57</v>
      </c>
      <c r="H2226" s="289">
        <f t="shared" si="237"/>
        <v>0</v>
      </c>
      <c r="I2226" s="290">
        <f>ROUND($G2226*H2226,2)</f>
        <v>0</v>
      </c>
    </row>
    <row r="2227" spans="2:9" ht="22.8">
      <c r="B2227" s="367" t="s">
        <v>311</v>
      </c>
      <c r="C2227" s="303" t="s">
        <v>197</v>
      </c>
      <c r="D2227" s="217"/>
      <c r="E2227" s="148" t="s">
        <v>73</v>
      </c>
      <c r="F2227" s="81" t="s">
        <v>13</v>
      </c>
      <c r="G2227" s="291" t="s">
        <v>13</v>
      </c>
      <c r="H2227" s="289" t="s">
        <v>13</v>
      </c>
      <c r="I2227" s="269" t="s">
        <v>13</v>
      </c>
    </row>
    <row r="2228" spans="2:9">
      <c r="B2228" s="368" t="s">
        <v>312</v>
      </c>
      <c r="C2228" s="217"/>
      <c r="D2228" s="217"/>
      <c r="E2228" s="149" t="s">
        <v>74</v>
      </c>
      <c r="F2228" s="136" t="s">
        <v>3</v>
      </c>
      <c r="G2228" s="299">
        <v>1</v>
      </c>
      <c r="H2228" s="289">
        <f t="shared" si="237"/>
        <v>0</v>
      </c>
      <c r="I2228" s="290">
        <f t="shared" ref="I2228:I2229" si="238">ROUND($G2228*H2228,2)</f>
        <v>0</v>
      </c>
    </row>
    <row r="2229" spans="2:9" ht="22.8">
      <c r="B2229" s="368" t="s">
        <v>313</v>
      </c>
      <c r="C2229" s="101"/>
      <c r="D2229" s="101"/>
      <c r="E2229" s="150" t="s">
        <v>128</v>
      </c>
      <c r="F2229" s="151" t="s">
        <v>3</v>
      </c>
      <c r="G2229" s="299">
        <v>12</v>
      </c>
      <c r="H2229" s="289">
        <f t="shared" si="237"/>
        <v>0</v>
      </c>
      <c r="I2229" s="290">
        <f t="shared" si="238"/>
        <v>0</v>
      </c>
    </row>
    <row r="2230" spans="2:9" ht="13.2">
      <c r="B2230" s="369"/>
      <c r="C2230" s="12"/>
      <c r="D2230" s="25"/>
      <c r="E2230" s="14" t="s">
        <v>77</v>
      </c>
      <c r="F2230" s="13"/>
      <c r="G2230" s="45"/>
      <c r="H2230" s="41" t="s">
        <v>13</v>
      </c>
      <c r="I2230" s="34" t="s">
        <v>13</v>
      </c>
    </row>
    <row r="2231" spans="2:9" ht="13.8">
      <c r="B2231" s="367"/>
      <c r="C2231" s="571" t="s">
        <v>332</v>
      </c>
      <c r="D2231" s="572"/>
      <c r="E2231" s="573"/>
      <c r="F2231" s="7"/>
      <c r="G2231" s="45"/>
      <c r="H2231" s="33" t="s">
        <v>13</v>
      </c>
      <c r="I2231" s="10">
        <f>SUM(I2169:I2229)</f>
        <v>0</v>
      </c>
    </row>
    <row r="2232" spans="2:9" ht="26.4">
      <c r="B2232" s="205" t="s">
        <v>334</v>
      </c>
      <c r="C2232" s="563" t="s">
        <v>663</v>
      </c>
      <c r="D2232" s="564"/>
      <c r="E2232" s="565"/>
      <c r="F2232" s="565"/>
      <c r="G2232" s="565"/>
      <c r="H2232" s="565"/>
      <c r="I2232" s="566"/>
    </row>
    <row r="2233" spans="2:9" ht="24">
      <c r="B2233" s="204" t="s">
        <v>0</v>
      </c>
      <c r="C2233" s="404" t="s">
        <v>210</v>
      </c>
      <c r="D2233" s="404" t="s">
        <v>333</v>
      </c>
      <c r="E2233" s="405" t="s">
        <v>203</v>
      </c>
      <c r="F2233" s="310" t="s">
        <v>204</v>
      </c>
      <c r="G2233" s="310" t="s">
        <v>1</v>
      </c>
      <c r="H2233" s="41" t="s">
        <v>111</v>
      </c>
      <c r="I2233" s="406" t="s">
        <v>112</v>
      </c>
    </row>
    <row r="2234" spans="2:9" ht="13.2">
      <c r="B2234" s="367" t="s">
        <v>247</v>
      </c>
      <c r="C2234" s="375" t="s">
        <v>171</v>
      </c>
      <c r="D2234" s="374"/>
      <c r="E2234" s="376" t="s">
        <v>14</v>
      </c>
      <c r="F2234" s="377"/>
      <c r="G2234" s="378"/>
      <c r="H2234" s="397"/>
      <c r="I2234" s="380"/>
    </row>
    <row r="2235" spans="2:9" ht="12">
      <c r="B2235" s="369"/>
      <c r="C2235" s="129"/>
      <c r="D2235" s="130"/>
      <c r="E2235" s="87" t="s">
        <v>447</v>
      </c>
      <c r="F2235" s="13" t="s">
        <v>153</v>
      </c>
      <c r="G2235" s="134"/>
      <c r="H2235" s="41"/>
      <c r="I2235" s="34" t="s">
        <v>13</v>
      </c>
    </row>
    <row r="2236" spans="2:9" ht="13.2">
      <c r="B2236" s="367" t="s">
        <v>250</v>
      </c>
      <c r="C2236" s="56" t="s">
        <v>172</v>
      </c>
      <c r="D2236" s="57"/>
      <c r="E2236" s="58" t="s">
        <v>20</v>
      </c>
      <c r="F2236" s="59"/>
      <c r="G2236" s="188"/>
      <c r="H2236" s="287"/>
      <c r="I2236" s="288"/>
    </row>
    <row r="2237" spans="2:9" ht="24">
      <c r="B2237" s="367"/>
      <c r="C2237" s="71"/>
      <c r="D2237" s="72"/>
      <c r="E2237" s="73" t="s">
        <v>241</v>
      </c>
      <c r="F2237" s="30"/>
      <c r="G2237" s="47"/>
      <c r="H2237" s="44"/>
      <c r="I2237" s="44"/>
    </row>
    <row r="2238" spans="2:9" ht="12">
      <c r="B2238" s="367" t="s">
        <v>251</v>
      </c>
      <c r="C2238" s="74" t="s">
        <v>173</v>
      </c>
      <c r="D2238" s="75"/>
      <c r="E2238" s="76" t="s">
        <v>115</v>
      </c>
      <c r="F2238" s="62" t="s">
        <v>13</v>
      </c>
      <c r="G2238" s="63" t="s">
        <v>13</v>
      </c>
      <c r="H2238" s="291" t="s">
        <v>13</v>
      </c>
      <c r="I2238" s="269" t="s">
        <v>13</v>
      </c>
    </row>
    <row r="2239" spans="2:9">
      <c r="B2239" s="369"/>
      <c r="C2239" s="77"/>
      <c r="D2239" s="78"/>
      <c r="E2239" s="79" t="s">
        <v>117</v>
      </c>
      <c r="F2239" s="62" t="s">
        <v>13</v>
      </c>
      <c r="G2239" s="63" t="s">
        <v>13</v>
      </c>
      <c r="H2239" s="291" t="s">
        <v>13</v>
      </c>
      <c r="I2239" s="269" t="s">
        <v>13</v>
      </c>
    </row>
    <row r="2240" spans="2:9">
      <c r="B2240" s="368" t="s">
        <v>252</v>
      </c>
      <c r="C2240" s="66"/>
      <c r="D2240" s="82"/>
      <c r="E2240" s="80" t="s">
        <v>365</v>
      </c>
      <c r="F2240" s="81" t="s">
        <v>23</v>
      </c>
      <c r="G2240" s="299">
        <v>7525</v>
      </c>
      <c r="H2240" s="289">
        <f>L2240*$K$5</f>
        <v>0</v>
      </c>
      <c r="I2240" s="290">
        <f>ROUND($G2240*H2240,2)</f>
        <v>0</v>
      </c>
    </row>
    <row r="2241" spans="2:9">
      <c r="B2241" s="368" t="s">
        <v>253</v>
      </c>
      <c r="C2241" s="83"/>
      <c r="D2241" s="84"/>
      <c r="E2241" s="301" t="s">
        <v>664</v>
      </c>
      <c r="F2241" s="81" t="s">
        <v>3</v>
      </c>
      <c r="G2241" s="165">
        <v>152</v>
      </c>
      <c r="H2241" s="289">
        <f>L2241*$K$5</f>
        <v>0</v>
      </c>
      <c r="I2241" s="290">
        <f>ROUND($G2241*H2241,2)</f>
        <v>0</v>
      </c>
    </row>
    <row r="2242" spans="2:9" ht="12">
      <c r="B2242" s="369"/>
      <c r="C2242" s="83"/>
      <c r="D2242" s="84"/>
      <c r="E2242" s="87" t="s">
        <v>26</v>
      </c>
      <c r="F2242" s="81" t="s">
        <v>153</v>
      </c>
      <c r="G2242" s="45"/>
      <c r="H2242" s="41"/>
      <c r="I2242" s="34" t="s">
        <v>13</v>
      </c>
    </row>
    <row r="2243" spans="2:9" ht="13.2">
      <c r="B2243" s="367" t="s">
        <v>256</v>
      </c>
      <c r="C2243" s="375" t="s">
        <v>174</v>
      </c>
      <c r="D2243" s="374"/>
      <c r="E2243" s="376" t="s">
        <v>27</v>
      </c>
      <c r="F2243" s="377"/>
      <c r="G2243" s="396"/>
      <c r="H2243" s="441"/>
      <c r="I2243" s="442"/>
    </row>
    <row r="2244" spans="2:9" ht="24">
      <c r="B2244" s="367"/>
      <c r="C2244" s="71"/>
      <c r="D2244" s="72"/>
      <c r="E2244" s="73" t="s">
        <v>241</v>
      </c>
      <c r="F2244" s="30"/>
      <c r="G2244" s="47"/>
      <c r="H2244" s="44"/>
      <c r="I2244" s="44"/>
    </row>
    <row r="2245" spans="2:9" ht="12">
      <c r="B2245" s="367" t="s">
        <v>257</v>
      </c>
      <c r="C2245" s="74" t="s">
        <v>175</v>
      </c>
      <c r="D2245" s="75"/>
      <c r="E2245" s="76" t="s">
        <v>29</v>
      </c>
      <c r="F2245" s="62" t="s">
        <v>13</v>
      </c>
      <c r="G2245" s="276" t="s">
        <v>13</v>
      </c>
      <c r="H2245" s="291" t="s">
        <v>13</v>
      </c>
      <c r="I2245" s="269" t="s">
        <v>13</v>
      </c>
    </row>
    <row r="2246" spans="2:9" ht="22.8">
      <c r="B2246" s="368" t="s">
        <v>258</v>
      </c>
      <c r="C2246" s="98"/>
      <c r="D2246" s="99"/>
      <c r="E2246" s="76" t="s">
        <v>367</v>
      </c>
      <c r="F2246" s="62" t="s">
        <v>17</v>
      </c>
      <c r="G2246" s="299">
        <v>130</v>
      </c>
      <c r="H2246" s="289">
        <f>L2246*$K$5</f>
        <v>0</v>
      </c>
      <c r="I2246" s="290">
        <f t="shared" ref="I2246:I2247" si="239">ROUND($G2246*H2246,2)</f>
        <v>0</v>
      </c>
    </row>
    <row r="2247" spans="2:9" ht="22.8">
      <c r="B2247" s="368" t="s">
        <v>665</v>
      </c>
      <c r="C2247" s="88"/>
      <c r="D2247" s="89"/>
      <c r="E2247" s="76" t="s">
        <v>666</v>
      </c>
      <c r="F2247" s="62" t="s">
        <v>17</v>
      </c>
      <c r="G2247" s="299">
        <v>100</v>
      </c>
      <c r="H2247" s="289">
        <f t="shared" ref="H2247:H2252" si="240">L2247*$K$5</f>
        <v>0</v>
      </c>
      <c r="I2247" s="290">
        <f t="shared" si="239"/>
        <v>0</v>
      </c>
    </row>
    <row r="2248" spans="2:9" ht="12">
      <c r="B2248" s="367" t="s">
        <v>259</v>
      </c>
      <c r="C2248" s="66" t="s">
        <v>176</v>
      </c>
      <c r="D2248" s="66"/>
      <c r="E2248" s="90" t="s">
        <v>31</v>
      </c>
      <c r="F2248" s="81" t="s">
        <v>13</v>
      </c>
      <c r="G2248" s="291" t="s">
        <v>13</v>
      </c>
      <c r="H2248" s="289" t="s">
        <v>13</v>
      </c>
      <c r="I2248" s="269" t="s">
        <v>13</v>
      </c>
    </row>
    <row r="2249" spans="2:9" ht="22.8">
      <c r="B2249" s="368" t="s">
        <v>260</v>
      </c>
      <c r="C2249" s="66"/>
      <c r="D2249" s="66"/>
      <c r="E2249" s="67" t="s">
        <v>658</v>
      </c>
      <c r="F2249" s="62" t="s">
        <v>17</v>
      </c>
      <c r="G2249" s="299">
        <v>5</v>
      </c>
      <c r="H2249" s="289">
        <f t="shared" si="240"/>
        <v>0</v>
      </c>
      <c r="I2249" s="290">
        <f>ROUND($G2249*H2249,2)</f>
        <v>0</v>
      </c>
    </row>
    <row r="2250" spans="2:9" ht="13.2">
      <c r="B2250" s="369"/>
      <c r="C2250" s="62"/>
      <c r="D2250" s="95"/>
      <c r="E2250" s="87" t="s">
        <v>39</v>
      </c>
      <c r="F2250" s="62" t="s">
        <v>153</v>
      </c>
      <c r="G2250" s="96"/>
      <c r="H2250"/>
      <c r="I2250" s="34" t="s">
        <v>13</v>
      </c>
    </row>
    <row r="2251" spans="2:9" ht="12">
      <c r="B2251" s="367" t="s">
        <v>261</v>
      </c>
      <c r="C2251" s="74" t="s">
        <v>181</v>
      </c>
      <c r="D2251" s="75"/>
      <c r="E2251" s="97" t="s">
        <v>139</v>
      </c>
      <c r="F2251" s="62" t="s">
        <v>13</v>
      </c>
      <c r="G2251" s="276" t="s">
        <v>13</v>
      </c>
      <c r="H2251" s="289" t="s">
        <v>13</v>
      </c>
      <c r="I2251" s="269" t="s">
        <v>13</v>
      </c>
    </row>
    <row r="2252" spans="2:9" ht="22.8">
      <c r="B2252" s="368" t="s">
        <v>262</v>
      </c>
      <c r="C2252" s="88"/>
      <c r="D2252" s="89"/>
      <c r="E2252" s="100" t="s">
        <v>140</v>
      </c>
      <c r="F2252" s="62" t="s">
        <v>17</v>
      </c>
      <c r="G2252" s="299">
        <v>32</v>
      </c>
      <c r="H2252" s="289">
        <f t="shared" si="240"/>
        <v>0</v>
      </c>
      <c r="I2252" s="290">
        <f>ROUND($G2252*H2252,2)</f>
        <v>0</v>
      </c>
    </row>
    <row r="2253" spans="2:9" ht="12">
      <c r="B2253" s="369"/>
      <c r="C2253" s="103"/>
      <c r="D2253" s="104"/>
      <c r="E2253" s="87" t="s">
        <v>43</v>
      </c>
      <c r="F2253" s="62" t="s">
        <v>153</v>
      </c>
      <c r="G2253" s="46"/>
      <c r="H2253" s="41"/>
      <c r="I2253" s="34" t="s">
        <v>13</v>
      </c>
    </row>
    <row r="2254" spans="2:9" ht="13.2">
      <c r="B2254" s="367" t="s">
        <v>272</v>
      </c>
      <c r="C2254" s="375" t="s">
        <v>200</v>
      </c>
      <c r="D2254" s="374"/>
      <c r="E2254" s="376" t="s">
        <v>44</v>
      </c>
      <c r="F2254" s="377"/>
      <c r="G2254" s="444"/>
      <c r="H2254" s="441"/>
      <c r="I2254" s="442"/>
    </row>
    <row r="2255" spans="2:9" ht="24">
      <c r="B2255" s="367"/>
      <c r="C2255" s="71"/>
      <c r="D2255" s="72"/>
      <c r="E2255" s="73" t="s">
        <v>241</v>
      </c>
      <c r="F2255" s="30"/>
      <c r="G2255" s="300"/>
      <c r="H2255" s="44"/>
      <c r="I2255" s="44"/>
    </row>
    <row r="2256" spans="2:9" ht="12">
      <c r="B2256" s="367" t="s">
        <v>273</v>
      </c>
      <c r="C2256" s="74" t="s">
        <v>167</v>
      </c>
      <c r="D2256" s="74"/>
      <c r="E2256" s="90" t="s">
        <v>132</v>
      </c>
      <c r="F2256" s="62" t="s">
        <v>13</v>
      </c>
      <c r="G2256" s="291" t="s">
        <v>13</v>
      </c>
      <c r="H2256" s="291" t="s">
        <v>13</v>
      </c>
      <c r="I2256" s="269" t="s">
        <v>13</v>
      </c>
    </row>
    <row r="2257" spans="2:9" ht="22.8">
      <c r="B2257" s="368" t="s">
        <v>330</v>
      </c>
      <c r="C2257" s="98"/>
      <c r="D2257" s="98"/>
      <c r="E2257" s="67" t="s">
        <v>667</v>
      </c>
      <c r="F2257" s="62" t="s">
        <v>23</v>
      </c>
      <c r="G2257" s="299">
        <v>1200</v>
      </c>
      <c r="H2257" s="289">
        <f>L2257*$K$5</f>
        <v>0</v>
      </c>
      <c r="I2257" s="290">
        <f>ROUND($G2257*H2257,2)</f>
        <v>0</v>
      </c>
    </row>
    <row r="2258" spans="2:9" ht="12">
      <c r="B2258" s="367" t="s">
        <v>343</v>
      </c>
      <c r="C2258" s="74" t="s">
        <v>354</v>
      </c>
      <c r="D2258" s="74"/>
      <c r="E2258" s="110" t="s">
        <v>356</v>
      </c>
      <c r="F2258" s="170" t="s">
        <v>13</v>
      </c>
      <c r="G2258" s="291" t="s">
        <v>13</v>
      </c>
      <c r="H2258" s="289" t="s">
        <v>13</v>
      </c>
      <c r="I2258" s="269" t="s">
        <v>13</v>
      </c>
    </row>
    <row r="2259" spans="2:9">
      <c r="B2259" s="368" t="s">
        <v>274</v>
      </c>
      <c r="C2259" s="304"/>
      <c r="D2259" s="304"/>
      <c r="E2259" s="90" t="s">
        <v>668</v>
      </c>
      <c r="F2259" s="109" t="s">
        <v>344</v>
      </c>
      <c r="G2259" s="299">
        <v>4</v>
      </c>
      <c r="H2259" s="289">
        <f t="shared" ref="H2259:H2264" si="241">L2259*$K$5</f>
        <v>0</v>
      </c>
      <c r="I2259" s="290">
        <f>ROUND($G2259*H2259,2)</f>
        <v>0</v>
      </c>
    </row>
    <row r="2260" spans="2:9">
      <c r="B2260" s="368" t="s">
        <v>373</v>
      </c>
      <c r="C2260" s="304"/>
      <c r="D2260" s="304"/>
      <c r="E2260" s="90" t="s">
        <v>669</v>
      </c>
      <c r="F2260" s="109" t="s">
        <v>344</v>
      </c>
      <c r="G2260" s="299">
        <v>16.32</v>
      </c>
      <c r="H2260" s="289">
        <f t="shared" si="241"/>
        <v>0</v>
      </c>
      <c r="I2260" s="290">
        <f>ROUND($G2260*H2260,2)</f>
        <v>0</v>
      </c>
    </row>
    <row r="2261" spans="2:9" ht="22.8">
      <c r="B2261" s="368" t="s">
        <v>670</v>
      </c>
      <c r="C2261" s="74" t="s">
        <v>355</v>
      </c>
      <c r="D2261" s="74"/>
      <c r="E2261" s="110" t="s">
        <v>357</v>
      </c>
      <c r="F2261" s="170" t="s">
        <v>13</v>
      </c>
      <c r="G2261" s="48" t="s">
        <v>13</v>
      </c>
      <c r="H2261" s="289" t="s">
        <v>13</v>
      </c>
      <c r="I2261" s="269" t="s">
        <v>13</v>
      </c>
    </row>
    <row r="2262" spans="2:9" ht="22.8">
      <c r="B2262" s="368" t="s">
        <v>347</v>
      </c>
      <c r="C2262" s="206"/>
      <c r="D2262" s="206"/>
      <c r="E2262" s="90" t="s">
        <v>154</v>
      </c>
      <c r="F2262" s="109" t="s">
        <v>15</v>
      </c>
      <c r="G2262" s="299">
        <v>130</v>
      </c>
      <c r="H2262" s="289">
        <f t="shared" si="241"/>
        <v>0</v>
      </c>
      <c r="I2262" s="290">
        <f>ROUND($G2262*H2262,2)</f>
        <v>0</v>
      </c>
    </row>
    <row r="2263" spans="2:9" ht="12">
      <c r="B2263" s="367" t="s">
        <v>349</v>
      </c>
      <c r="C2263" s="74" t="s">
        <v>427</v>
      </c>
      <c r="D2263" s="74"/>
      <c r="E2263" s="90" t="s">
        <v>350</v>
      </c>
      <c r="F2263" s="109" t="s">
        <v>13</v>
      </c>
      <c r="G2263" s="228" t="s">
        <v>13</v>
      </c>
      <c r="H2263" s="289" t="s">
        <v>13</v>
      </c>
      <c r="I2263" s="269" t="s">
        <v>13</v>
      </c>
    </row>
    <row r="2264" spans="2:9">
      <c r="B2264" s="368" t="s">
        <v>351</v>
      </c>
      <c r="C2264" s="98"/>
      <c r="D2264" s="98"/>
      <c r="E2264" s="67" t="s">
        <v>671</v>
      </c>
      <c r="F2264" s="109" t="s">
        <v>344</v>
      </c>
      <c r="G2264" s="299">
        <v>4</v>
      </c>
      <c r="H2264" s="289">
        <f t="shared" si="241"/>
        <v>0</v>
      </c>
      <c r="I2264" s="290">
        <f>ROUND($G2264*H2264,2)</f>
        <v>0</v>
      </c>
    </row>
    <row r="2265" spans="2:9" ht="12">
      <c r="B2265" s="369"/>
      <c r="C2265" s="12"/>
      <c r="D2265" s="25"/>
      <c r="E2265" s="87" t="s">
        <v>46</v>
      </c>
      <c r="F2265" s="13" t="s">
        <v>153</v>
      </c>
      <c r="G2265" s="96"/>
      <c r="H2265" s="41"/>
      <c r="I2265" s="34" t="s">
        <v>13</v>
      </c>
    </row>
    <row r="2266" spans="2:9" ht="13.2">
      <c r="B2266" s="367" t="s">
        <v>275</v>
      </c>
      <c r="C2266" s="375" t="s">
        <v>201</v>
      </c>
      <c r="D2266" s="374"/>
      <c r="E2266" s="407" t="s">
        <v>380</v>
      </c>
      <c r="F2266" s="377"/>
      <c r="G2266" s="396"/>
      <c r="H2266" s="441"/>
      <c r="I2266" s="442"/>
    </row>
    <row r="2267" spans="2:9" ht="24">
      <c r="B2267" s="367"/>
      <c r="C2267" s="71"/>
      <c r="D2267" s="72"/>
      <c r="E2267" s="73" t="s">
        <v>241</v>
      </c>
      <c r="F2267" s="30"/>
      <c r="G2267" s="47"/>
      <c r="H2267" s="44"/>
      <c r="I2267" s="44"/>
    </row>
    <row r="2268" spans="2:9" ht="12">
      <c r="B2268" s="367" t="s">
        <v>276</v>
      </c>
      <c r="C2268" s="60" t="s">
        <v>182</v>
      </c>
      <c r="D2268" s="60"/>
      <c r="E2268" s="90" t="s">
        <v>49</v>
      </c>
      <c r="F2268" s="62" t="s">
        <v>13</v>
      </c>
      <c r="G2268" s="276" t="s">
        <v>13</v>
      </c>
      <c r="H2268" s="291" t="s">
        <v>13</v>
      </c>
      <c r="I2268" s="269" t="s">
        <v>13</v>
      </c>
    </row>
    <row r="2269" spans="2:9" ht="34.200000000000003">
      <c r="B2269" s="368" t="s">
        <v>277</v>
      </c>
      <c r="C2269" s="66"/>
      <c r="D2269" s="66"/>
      <c r="E2269" s="92" t="s">
        <v>602</v>
      </c>
      <c r="F2269" s="62" t="s">
        <v>15</v>
      </c>
      <c r="G2269" s="299">
        <v>340</v>
      </c>
      <c r="H2269" s="289">
        <f>L2269*$K$5</f>
        <v>0</v>
      </c>
      <c r="I2269" s="290">
        <f>ROUND($G2269*H2269,2)</f>
        <v>0</v>
      </c>
    </row>
    <row r="2270" spans="2:9" ht="45.6">
      <c r="B2270" s="368" t="s">
        <v>278</v>
      </c>
      <c r="C2270" s="83"/>
      <c r="D2270" s="83"/>
      <c r="E2270" s="92" t="s">
        <v>149</v>
      </c>
      <c r="F2270" s="62" t="s">
        <v>15</v>
      </c>
      <c r="G2270" s="299">
        <v>6.5</v>
      </c>
      <c r="H2270" s="289">
        <f t="shared" ref="H2270:H2278" si="242">L2270*$K$5</f>
        <v>0</v>
      </c>
      <c r="I2270" s="290">
        <f>ROUND($G2270*H2270,2)</f>
        <v>0</v>
      </c>
    </row>
    <row r="2271" spans="2:9" ht="12">
      <c r="B2271" s="367" t="s">
        <v>279</v>
      </c>
      <c r="C2271" s="74" t="s">
        <v>168</v>
      </c>
      <c r="D2271" s="74"/>
      <c r="E2271" s="90" t="s">
        <v>155</v>
      </c>
      <c r="F2271" s="81" t="s">
        <v>13</v>
      </c>
      <c r="G2271" s="291" t="s">
        <v>13</v>
      </c>
      <c r="H2271" s="289" t="s">
        <v>13</v>
      </c>
      <c r="I2271" s="269" t="s">
        <v>13</v>
      </c>
    </row>
    <row r="2272" spans="2:9" ht="13.2">
      <c r="B2272" s="368" t="s">
        <v>280</v>
      </c>
      <c r="C2272" s="103"/>
      <c r="D2272" s="103"/>
      <c r="E2272" s="90" t="s">
        <v>672</v>
      </c>
      <c r="F2272" s="62" t="s">
        <v>15</v>
      </c>
      <c r="G2272" s="299">
        <v>292</v>
      </c>
      <c r="H2272" s="289">
        <f t="shared" si="242"/>
        <v>0</v>
      </c>
      <c r="I2272" s="290">
        <f>ROUND($G2272*H2272,2)</f>
        <v>0</v>
      </c>
    </row>
    <row r="2273" spans="2:9" ht="12">
      <c r="B2273" s="367" t="s">
        <v>282</v>
      </c>
      <c r="C2273" s="74" t="s">
        <v>183</v>
      </c>
      <c r="D2273" s="74"/>
      <c r="E2273" s="90" t="s">
        <v>54</v>
      </c>
      <c r="F2273" s="81" t="s">
        <v>13</v>
      </c>
      <c r="G2273" s="291" t="s">
        <v>13</v>
      </c>
      <c r="H2273" s="289" t="s">
        <v>13</v>
      </c>
      <c r="I2273" s="269" t="s">
        <v>13</v>
      </c>
    </row>
    <row r="2274" spans="2:9" ht="22.8">
      <c r="B2274" s="368" t="s">
        <v>283</v>
      </c>
      <c r="C2274" s="98"/>
      <c r="D2274" s="98"/>
      <c r="E2274" s="92" t="s">
        <v>156</v>
      </c>
      <c r="F2274" s="62" t="s">
        <v>15</v>
      </c>
      <c r="G2274" s="299">
        <v>94</v>
      </c>
      <c r="H2274" s="289">
        <f t="shared" si="242"/>
        <v>0</v>
      </c>
      <c r="I2274" s="290">
        <f>ROUND($G2274*H2274,2)</f>
        <v>0</v>
      </c>
    </row>
    <row r="2275" spans="2:9" ht="12">
      <c r="B2275" s="367" t="s">
        <v>284</v>
      </c>
      <c r="C2275" s="74" t="s">
        <v>184</v>
      </c>
      <c r="D2275" s="74"/>
      <c r="E2275" s="90" t="s">
        <v>121</v>
      </c>
      <c r="F2275" s="81" t="s">
        <v>13</v>
      </c>
      <c r="G2275" s="291" t="s">
        <v>13</v>
      </c>
      <c r="H2275" s="289" t="s">
        <v>13</v>
      </c>
      <c r="I2275" s="269" t="s">
        <v>13</v>
      </c>
    </row>
    <row r="2276" spans="2:9" ht="22.8">
      <c r="B2276" s="368" t="s">
        <v>285</v>
      </c>
      <c r="C2276" s="98"/>
      <c r="D2276" s="98"/>
      <c r="E2276" s="111" t="s">
        <v>122</v>
      </c>
      <c r="F2276" s="83" t="s">
        <v>15</v>
      </c>
      <c r="G2276" s="299">
        <v>309</v>
      </c>
      <c r="H2276" s="289">
        <f t="shared" si="242"/>
        <v>0</v>
      </c>
      <c r="I2276" s="290">
        <f>ROUND($G2276*H2276,2)</f>
        <v>0</v>
      </c>
    </row>
    <row r="2277" spans="2:9" ht="12">
      <c r="B2277" s="367" t="s">
        <v>286</v>
      </c>
      <c r="C2277" s="74" t="s">
        <v>185</v>
      </c>
      <c r="D2277" s="74"/>
      <c r="E2277" s="90" t="s">
        <v>151</v>
      </c>
      <c r="F2277" s="81" t="s">
        <v>13</v>
      </c>
      <c r="G2277" s="291" t="s">
        <v>13</v>
      </c>
      <c r="H2277" s="289" t="s">
        <v>13</v>
      </c>
      <c r="I2277" s="269" t="s">
        <v>13</v>
      </c>
    </row>
    <row r="2278" spans="2:9" ht="22.8">
      <c r="B2278" s="368" t="s">
        <v>287</v>
      </c>
      <c r="C2278" s="98"/>
      <c r="D2278" s="98"/>
      <c r="E2278" s="90" t="s">
        <v>152</v>
      </c>
      <c r="F2278" s="83" t="s">
        <v>15</v>
      </c>
      <c r="G2278" s="299">
        <v>23</v>
      </c>
      <c r="H2278" s="289">
        <f t="shared" si="242"/>
        <v>0</v>
      </c>
      <c r="I2278" s="290">
        <f>ROUND($G2278*H2278,2)</f>
        <v>0</v>
      </c>
    </row>
    <row r="2279" spans="2:9" ht="12">
      <c r="B2279" s="369"/>
      <c r="C2279" s="12"/>
      <c r="D2279" s="25"/>
      <c r="E2279" s="87" t="s">
        <v>58</v>
      </c>
      <c r="F2279" s="13" t="s">
        <v>153</v>
      </c>
      <c r="G2279" s="96"/>
      <c r="H2279" s="41"/>
      <c r="I2279" s="34" t="s">
        <v>13</v>
      </c>
    </row>
    <row r="2280" spans="2:9" ht="13.2">
      <c r="B2280" s="367" t="s">
        <v>292</v>
      </c>
      <c r="C2280" s="375" t="s">
        <v>188</v>
      </c>
      <c r="D2280" s="374"/>
      <c r="E2280" s="376" t="s">
        <v>59</v>
      </c>
      <c r="F2280" s="377"/>
      <c r="G2280" s="396"/>
      <c r="H2280" s="441"/>
      <c r="I2280" s="442"/>
    </row>
    <row r="2281" spans="2:9" ht="24">
      <c r="B2281" s="367"/>
      <c r="C2281" s="71"/>
      <c r="D2281" s="72"/>
      <c r="E2281" s="73" t="s">
        <v>241</v>
      </c>
      <c r="F2281" s="30"/>
      <c r="G2281" s="47"/>
      <c r="H2281" s="44"/>
      <c r="I2281" s="44"/>
    </row>
    <row r="2282" spans="2:9" ht="12">
      <c r="B2282" s="367" t="s">
        <v>293</v>
      </c>
      <c r="C2282" s="120" t="s">
        <v>189</v>
      </c>
      <c r="D2282" s="121"/>
      <c r="E2282" s="122" t="s">
        <v>60</v>
      </c>
      <c r="F2282" s="62" t="s">
        <v>13</v>
      </c>
      <c r="G2282" s="276" t="s">
        <v>13</v>
      </c>
      <c r="H2282" s="291" t="s">
        <v>13</v>
      </c>
      <c r="I2282" s="269" t="s">
        <v>13</v>
      </c>
    </row>
    <row r="2283" spans="2:9">
      <c r="B2283" s="368" t="s">
        <v>294</v>
      </c>
      <c r="C2283" s="123"/>
      <c r="D2283" s="124"/>
      <c r="E2283" s="80" t="s">
        <v>660</v>
      </c>
      <c r="F2283" s="81" t="s">
        <v>4</v>
      </c>
      <c r="G2283" s="299">
        <v>58</v>
      </c>
      <c r="H2283" s="289">
        <f>L2283*$K$5</f>
        <v>0</v>
      </c>
      <c r="I2283" s="290">
        <f t="shared" ref="I2283:I2285" si="243">ROUND($G2283*H2283,2)</f>
        <v>0</v>
      </c>
    </row>
    <row r="2284" spans="2:9">
      <c r="B2284" s="368" t="s">
        <v>295</v>
      </c>
      <c r="C2284" s="305"/>
      <c r="D2284" s="306"/>
      <c r="E2284" s="301" t="s">
        <v>673</v>
      </c>
      <c r="F2284" s="81" t="s">
        <v>4</v>
      </c>
      <c r="G2284" s="299">
        <v>47</v>
      </c>
      <c r="H2284" s="289">
        <f t="shared" ref="H2284:H2285" si="244">L2284*$K$5</f>
        <v>0</v>
      </c>
      <c r="I2284" s="290">
        <f t="shared" si="243"/>
        <v>0</v>
      </c>
    </row>
    <row r="2285" spans="2:9" ht="34.200000000000003">
      <c r="B2285" s="368" t="s">
        <v>296</v>
      </c>
      <c r="C2285" s="125"/>
      <c r="D2285" s="126"/>
      <c r="E2285" s="127" t="s">
        <v>144</v>
      </c>
      <c r="F2285" s="128" t="s">
        <v>4</v>
      </c>
      <c r="G2285" s="299">
        <v>6</v>
      </c>
      <c r="H2285" s="289">
        <f t="shared" si="244"/>
        <v>0</v>
      </c>
      <c r="I2285" s="290">
        <f t="shared" si="243"/>
        <v>0</v>
      </c>
    </row>
    <row r="2286" spans="2:9" ht="13.2">
      <c r="B2286" s="367" t="s">
        <v>301</v>
      </c>
      <c r="C2286" s="375" t="s">
        <v>192</v>
      </c>
      <c r="D2286" s="374"/>
      <c r="E2286" s="376" t="s">
        <v>64</v>
      </c>
      <c r="F2286" s="377"/>
      <c r="G2286" s="396"/>
      <c r="H2286" s="441"/>
      <c r="I2286" s="442"/>
    </row>
    <row r="2287" spans="2:9" ht="24">
      <c r="B2287" s="367"/>
      <c r="C2287" s="71"/>
      <c r="D2287" s="72"/>
      <c r="E2287" s="73" t="s">
        <v>241</v>
      </c>
      <c r="F2287" s="30"/>
      <c r="G2287" s="47"/>
      <c r="H2287" s="44"/>
      <c r="I2287" s="44"/>
    </row>
    <row r="2288" spans="2:9" ht="12">
      <c r="B2288" s="367" t="s">
        <v>302</v>
      </c>
      <c r="C2288" s="60" t="s">
        <v>195</v>
      </c>
      <c r="D2288" s="60"/>
      <c r="E2288" s="90" t="s">
        <v>71</v>
      </c>
      <c r="F2288" s="140" t="s">
        <v>13</v>
      </c>
      <c r="G2288" s="140" t="s">
        <v>13</v>
      </c>
      <c r="H2288" s="291" t="s">
        <v>13</v>
      </c>
      <c r="I2288" s="269" t="s">
        <v>13</v>
      </c>
    </row>
    <row r="2289" spans="2:9" ht="45.6">
      <c r="B2289" s="368" t="s">
        <v>303</v>
      </c>
      <c r="C2289" s="83"/>
      <c r="D2289" s="83"/>
      <c r="E2289" s="67" t="s">
        <v>125</v>
      </c>
      <c r="F2289" s="81" t="s">
        <v>16</v>
      </c>
      <c r="G2289" s="299">
        <v>133</v>
      </c>
      <c r="H2289" s="289">
        <f>L2289*$K$5</f>
        <v>0</v>
      </c>
      <c r="I2289" s="290">
        <f>ROUND($G2289*H2289,2)</f>
        <v>0</v>
      </c>
    </row>
    <row r="2290" spans="2:9" ht="22.8">
      <c r="B2290" s="367" t="s">
        <v>304</v>
      </c>
      <c r="C2290" s="60" t="s">
        <v>196</v>
      </c>
      <c r="D2290" s="60"/>
      <c r="E2290" s="145" t="s">
        <v>131</v>
      </c>
      <c r="F2290" s="146" t="s">
        <v>13</v>
      </c>
      <c r="G2290" s="302" t="s">
        <v>13</v>
      </c>
      <c r="H2290" s="289" t="s">
        <v>13</v>
      </c>
      <c r="I2290" s="269" t="s">
        <v>13</v>
      </c>
    </row>
    <row r="2291" spans="2:9" ht="34.200000000000003">
      <c r="B2291" s="368" t="s">
        <v>305</v>
      </c>
      <c r="C2291" s="66"/>
      <c r="D2291" s="66"/>
      <c r="E2291" s="147" t="s">
        <v>674</v>
      </c>
      <c r="F2291" s="81" t="s">
        <v>16</v>
      </c>
      <c r="G2291" s="299">
        <v>33</v>
      </c>
      <c r="H2291" s="289">
        <f t="shared" ref="H2291:H2294" si="245">L2291*$K$5</f>
        <v>0</v>
      </c>
      <c r="I2291" s="290">
        <f>ROUND($G2291*H2291,2)</f>
        <v>0</v>
      </c>
    </row>
    <row r="2292" spans="2:9" ht="22.8">
      <c r="B2292" s="367" t="s">
        <v>307</v>
      </c>
      <c r="C2292" s="74" t="s">
        <v>197</v>
      </c>
      <c r="D2292" s="74"/>
      <c r="E2292" s="148" t="s">
        <v>73</v>
      </c>
      <c r="F2292" s="81" t="s">
        <v>13</v>
      </c>
      <c r="G2292" s="291" t="s">
        <v>13</v>
      </c>
      <c r="H2292" s="289" t="s">
        <v>13</v>
      </c>
      <c r="I2292" s="269" t="s">
        <v>13</v>
      </c>
    </row>
    <row r="2293" spans="2:9">
      <c r="B2293" s="368" t="s">
        <v>308</v>
      </c>
      <c r="C2293" s="98"/>
      <c r="D2293" s="98"/>
      <c r="E2293" s="149" t="s">
        <v>74</v>
      </c>
      <c r="F2293" s="136" t="s">
        <v>3</v>
      </c>
      <c r="G2293" s="307">
        <v>1</v>
      </c>
      <c r="H2293" s="289">
        <f t="shared" si="245"/>
        <v>0</v>
      </c>
      <c r="I2293" s="290">
        <f t="shared" ref="I2293:I2294" si="246">ROUND($G2293*H2293,2)</f>
        <v>0</v>
      </c>
    </row>
    <row r="2294" spans="2:9" ht="22.8">
      <c r="B2294" s="368" t="s">
        <v>309</v>
      </c>
      <c r="C2294" s="101"/>
      <c r="D2294" s="101"/>
      <c r="E2294" s="150" t="s">
        <v>128</v>
      </c>
      <c r="F2294" s="151" t="s">
        <v>3</v>
      </c>
      <c r="G2294" s="307">
        <v>8</v>
      </c>
      <c r="H2294" s="289">
        <f t="shared" si="245"/>
        <v>0</v>
      </c>
      <c r="I2294" s="290">
        <f t="shared" si="246"/>
        <v>0</v>
      </c>
    </row>
    <row r="2295" spans="2:9">
      <c r="B2295" s="370" t="s">
        <v>675</v>
      </c>
      <c r="C2295" s="66" t="s">
        <v>562</v>
      </c>
      <c r="D2295" s="157"/>
      <c r="E2295" s="156" t="s">
        <v>563</v>
      </c>
      <c r="F2295" s="128" t="s">
        <v>13</v>
      </c>
      <c r="G2295" s="308" t="s">
        <v>13</v>
      </c>
      <c r="H2295" s="289" t="s">
        <v>13</v>
      </c>
      <c r="I2295" s="269" t="s">
        <v>13</v>
      </c>
    </row>
    <row r="2296" spans="2:9">
      <c r="B2296" s="370" t="s">
        <v>558</v>
      </c>
      <c r="C2296" s="83"/>
      <c r="D2296" s="159"/>
      <c r="E2296" s="158" t="s">
        <v>643</v>
      </c>
      <c r="F2296" s="81" t="s">
        <v>4</v>
      </c>
      <c r="G2296" s="299">
        <v>18</v>
      </c>
      <c r="H2296" s="289">
        <f>L2296*$K$5</f>
        <v>0</v>
      </c>
      <c r="I2296" s="290">
        <f>ROUND($G2296*H2296,2)</f>
        <v>0</v>
      </c>
    </row>
    <row r="2297" spans="2:9" ht="13.2">
      <c r="B2297" s="369"/>
      <c r="C2297" s="12"/>
      <c r="D2297" s="25"/>
      <c r="E2297" s="14" t="s">
        <v>77</v>
      </c>
      <c r="F2297" s="13"/>
      <c r="G2297" s="45"/>
      <c r="H2297" s="41"/>
      <c r="I2297" s="34" t="s">
        <v>13</v>
      </c>
    </row>
    <row r="2298" spans="2:9" ht="13.2">
      <c r="B2298" s="367" t="s">
        <v>465</v>
      </c>
      <c r="C2298" s="375" t="s">
        <v>466</v>
      </c>
      <c r="D2298" s="374"/>
      <c r="E2298" s="376" t="s">
        <v>467</v>
      </c>
      <c r="F2298" s="377"/>
      <c r="G2298" s="378"/>
      <c r="H2298" s="441"/>
      <c r="I2298" s="445"/>
    </row>
    <row r="2299" spans="2:9" ht="48">
      <c r="B2299" s="369"/>
      <c r="C2299" s="310"/>
      <c r="D2299" s="311"/>
      <c r="E2299" s="35" t="s">
        <v>676</v>
      </c>
      <c r="F2299" s="30"/>
      <c r="G2299" s="40"/>
      <c r="H2299" s="44"/>
      <c r="I2299" s="309"/>
    </row>
    <row r="2300" spans="2:9" ht="12">
      <c r="B2300" s="367" t="s">
        <v>468</v>
      </c>
      <c r="C2300" s="74" t="s">
        <v>466</v>
      </c>
      <c r="D2300" s="74"/>
      <c r="E2300" s="90" t="s">
        <v>469</v>
      </c>
      <c r="F2300" s="136" t="s">
        <v>13</v>
      </c>
      <c r="G2300" s="293" t="s">
        <v>13</v>
      </c>
      <c r="H2300" s="291" t="s">
        <v>13</v>
      </c>
      <c r="I2300" s="269" t="s">
        <v>13</v>
      </c>
    </row>
    <row r="2301" spans="2:9">
      <c r="B2301" s="368" t="s">
        <v>470</v>
      </c>
      <c r="C2301" s="101"/>
      <c r="D2301" s="101"/>
      <c r="E2301" s="90" t="s">
        <v>471</v>
      </c>
      <c r="F2301" s="62" t="s">
        <v>2</v>
      </c>
      <c r="G2301" s="68">
        <v>1</v>
      </c>
      <c r="H2301" s="289">
        <f>L2301*$K$5</f>
        <v>0</v>
      </c>
      <c r="I2301" s="290">
        <f>ROUND($G2301*H2301,2)</f>
        <v>0</v>
      </c>
    </row>
    <row r="2302" spans="2:9" ht="12">
      <c r="B2302" s="367" t="s">
        <v>468</v>
      </c>
      <c r="C2302" s="74" t="s">
        <v>478</v>
      </c>
      <c r="D2302" s="74"/>
      <c r="E2302" s="90" t="s">
        <v>479</v>
      </c>
      <c r="F2302" s="136" t="s">
        <v>13</v>
      </c>
      <c r="G2302" s="293" t="s">
        <v>13</v>
      </c>
      <c r="H2302" s="289" t="s">
        <v>13</v>
      </c>
      <c r="I2302" s="269" t="s">
        <v>13</v>
      </c>
    </row>
    <row r="2303" spans="2:9" ht="13.2">
      <c r="B2303" s="368" t="s">
        <v>470</v>
      </c>
      <c r="C2303" s="101"/>
      <c r="D2303" s="101"/>
      <c r="E2303" s="90" t="s">
        <v>481</v>
      </c>
      <c r="F2303" s="62" t="s">
        <v>17</v>
      </c>
      <c r="G2303" s="68">
        <v>15</v>
      </c>
      <c r="H2303" s="289">
        <f t="shared" ref="H2303:H2305" si="247">L2303*$K$5</f>
        <v>0</v>
      </c>
      <c r="I2303" s="290">
        <f>ROUND($G2303*H2303,2)</f>
        <v>0</v>
      </c>
    </row>
    <row r="2304" spans="2:9" ht="12">
      <c r="B2304" s="367" t="s">
        <v>472</v>
      </c>
      <c r="C2304" s="74" t="s">
        <v>483</v>
      </c>
      <c r="D2304" s="74"/>
      <c r="E2304" s="90" t="s">
        <v>484</v>
      </c>
      <c r="F2304" s="136" t="s">
        <v>13</v>
      </c>
      <c r="G2304" s="293" t="s">
        <v>13</v>
      </c>
      <c r="H2304" s="289" t="s">
        <v>13</v>
      </c>
      <c r="I2304" s="269" t="s">
        <v>13</v>
      </c>
    </row>
    <row r="2305" spans="2:9">
      <c r="B2305" s="368" t="s">
        <v>475</v>
      </c>
      <c r="C2305" s="101"/>
      <c r="D2305" s="101"/>
      <c r="E2305" s="90" t="s">
        <v>486</v>
      </c>
      <c r="F2305" s="62" t="s">
        <v>4</v>
      </c>
      <c r="G2305" s="68">
        <v>9.5</v>
      </c>
      <c r="H2305" s="289">
        <f t="shared" si="247"/>
        <v>0</v>
      </c>
      <c r="I2305" s="290">
        <f>ROUND($G2305*H2305,2)</f>
        <v>0</v>
      </c>
    </row>
    <row r="2306" spans="2:9" ht="12">
      <c r="B2306" s="369"/>
      <c r="C2306" s="12"/>
      <c r="D2306" s="25"/>
      <c r="E2306" s="87" t="s">
        <v>492</v>
      </c>
      <c r="F2306" s="13"/>
      <c r="G2306" s="96"/>
      <c r="H2306" s="41" t="s">
        <v>13</v>
      </c>
      <c r="I2306" s="34" t="s">
        <v>13</v>
      </c>
    </row>
    <row r="2307" spans="2:9" ht="13.8">
      <c r="B2307" s="367"/>
      <c r="C2307" s="562"/>
      <c r="D2307" s="562"/>
      <c r="E2307" s="562"/>
      <c r="F2307" s="7"/>
      <c r="G2307" s="45"/>
      <c r="H2307" s="33" t="s">
        <v>13</v>
      </c>
      <c r="I2307" s="10">
        <f>SUM(I2235:I2305)</f>
        <v>0</v>
      </c>
    </row>
    <row r="2308" spans="2:9" ht="26.4">
      <c r="B2308" s="205" t="s">
        <v>334</v>
      </c>
      <c r="C2308" s="563" t="s">
        <v>677</v>
      </c>
      <c r="D2308" s="564"/>
      <c r="E2308" s="565"/>
      <c r="F2308" s="565"/>
      <c r="G2308" s="565"/>
      <c r="H2308" s="565"/>
      <c r="I2308" s="566"/>
    </row>
    <row r="2309" spans="2:9" ht="24">
      <c r="B2309" s="204" t="s">
        <v>0</v>
      </c>
      <c r="C2309" s="404" t="s">
        <v>210</v>
      </c>
      <c r="D2309" s="404" t="s">
        <v>333</v>
      </c>
      <c r="E2309" s="405" t="s">
        <v>203</v>
      </c>
      <c r="F2309" s="310" t="s">
        <v>204</v>
      </c>
      <c r="G2309" s="310" t="s">
        <v>1</v>
      </c>
      <c r="H2309" s="41" t="s">
        <v>111</v>
      </c>
      <c r="I2309" s="406" t="s">
        <v>112</v>
      </c>
    </row>
    <row r="2310" spans="2:9" ht="13.2">
      <c r="B2310" s="367" t="s">
        <v>439</v>
      </c>
      <c r="C2310" s="375" t="s">
        <v>440</v>
      </c>
      <c r="D2310" s="374"/>
      <c r="E2310" s="376" t="s">
        <v>441</v>
      </c>
      <c r="F2310" s="377"/>
      <c r="G2310" s="396"/>
      <c r="H2310" s="446"/>
      <c r="I2310" s="380"/>
    </row>
    <row r="2311" spans="2:9" ht="13.2">
      <c r="B2311" s="368" t="s">
        <v>678</v>
      </c>
      <c r="C2311" s="197" t="s">
        <v>443</v>
      </c>
      <c r="D2311" s="197"/>
      <c r="E2311" s="198" t="s">
        <v>444</v>
      </c>
      <c r="F2311" s="62" t="s">
        <v>13</v>
      </c>
      <c r="G2311" s="48" t="s">
        <v>13</v>
      </c>
      <c r="H2311" s="64" t="s">
        <v>13</v>
      </c>
      <c r="I2311" s="49" t="s">
        <v>13</v>
      </c>
    </row>
    <row r="2312" spans="2:9" ht="22.8">
      <c r="B2312" s="368" t="s">
        <v>679</v>
      </c>
      <c r="C2312" s="200"/>
      <c r="D2312" s="201"/>
      <c r="E2312" s="80" t="s">
        <v>680</v>
      </c>
      <c r="F2312" s="62" t="s">
        <v>17</v>
      </c>
      <c r="G2312" s="203">
        <f>98+25</f>
        <v>123</v>
      </c>
      <c r="H2312" s="69">
        <f>L2312*$K$5</f>
        <v>0</v>
      </c>
      <c r="I2312" s="312">
        <f>ROUND($G2312*H2312,2)</f>
        <v>0</v>
      </c>
    </row>
    <row r="2313" spans="2:9" ht="13.2">
      <c r="B2313" s="369"/>
      <c r="C2313" s="129"/>
      <c r="D2313" s="130"/>
      <c r="E2313" s="87" t="s">
        <v>447</v>
      </c>
      <c r="F2313" s="13" t="s">
        <v>153</v>
      </c>
      <c r="G2313" s="134"/>
      <c r="H2313" s="181"/>
      <c r="I2313" s="182" t="s">
        <v>13</v>
      </c>
    </row>
    <row r="2314" spans="2:9" ht="13.2">
      <c r="B2314" s="367" t="s">
        <v>250</v>
      </c>
      <c r="C2314" s="375" t="s">
        <v>172</v>
      </c>
      <c r="D2314" s="374"/>
      <c r="E2314" s="376" t="s">
        <v>20</v>
      </c>
      <c r="F2314" s="377"/>
      <c r="G2314" s="396"/>
      <c r="H2314" s="446"/>
      <c r="I2314" s="380"/>
    </row>
    <row r="2315" spans="2:9" ht="24">
      <c r="B2315" s="367"/>
      <c r="C2315" s="71"/>
      <c r="D2315" s="72"/>
      <c r="E2315" s="73" t="s">
        <v>241</v>
      </c>
      <c r="F2315" s="30"/>
      <c r="G2315" s="47"/>
      <c r="H2315" s="38"/>
      <c r="I2315" s="38"/>
    </row>
    <row r="2316" spans="2:9" ht="13.2">
      <c r="B2316" s="367" t="s">
        <v>251</v>
      </c>
      <c r="C2316" s="74" t="s">
        <v>173</v>
      </c>
      <c r="D2316" s="75"/>
      <c r="E2316" s="76" t="s">
        <v>115</v>
      </c>
      <c r="F2316" s="62" t="s">
        <v>13</v>
      </c>
      <c r="G2316" s="63" t="s">
        <v>13</v>
      </c>
      <c r="H2316" s="64" t="s">
        <v>13</v>
      </c>
      <c r="I2316" s="65" t="s">
        <v>13</v>
      </c>
    </row>
    <row r="2317" spans="2:9" ht="13.2">
      <c r="B2317" s="369"/>
      <c r="C2317" s="77"/>
      <c r="D2317" s="78"/>
      <c r="E2317" s="79" t="s">
        <v>117</v>
      </c>
      <c r="F2317" s="62" t="s">
        <v>13</v>
      </c>
      <c r="G2317" s="63" t="s">
        <v>13</v>
      </c>
      <c r="H2317" s="64" t="s">
        <v>13</v>
      </c>
      <c r="I2317" s="65" t="s">
        <v>13</v>
      </c>
    </row>
    <row r="2318" spans="2:9" ht="13.2">
      <c r="B2318" s="368" t="s">
        <v>252</v>
      </c>
      <c r="C2318" s="66"/>
      <c r="D2318" s="82"/>
      <c r="E2318" s="80" t="s">
        <v>366</v>
      </c>
      <c r="F2318" s="81" t="s">
        <v>23</v>
      </c>
      <c r="G2318" s="164">
        <v>7950</v>
      </c>
      <c r="H2318" s="69">
        <f>L2318*$K$5</f>
        <v>0</v>
      </c>
      <c r="I2318" s="312">
        <f>ROUND($G2318*H2318,2)</f>
        <v>0</v>
      </c>
    </row>
    <row r="2319" spans="2:9" ht="13.2">
      <c r="B2319" s="368" t="s">
        <v>253</v>
      </c>
      <c r="C2319" s="83"/>
      <c r="D2319" s="84"/>
      <c r="E2319" s="80" t="s">
        <v>163</v>
      </c>
      <c r="F2319" s="81" t="s">
        <v>23</v>
      </c>
      <c r="G2319" s="165">
        <v>710</v>
      </c>
      <c r="H2319" s="69">
        <f>L2319*$K$5</f>
        <v>0</v>
      </c>
      <c r="I2319" s="312">
        <f t="shared" ref="I2319" si="248">ROUND($G2319*H2319,2)</f>
        <v>0</v>
      </c>
    </row>
    <row r="2320" spans="2:9" ht="13.2">
      <c r="B2320" s="369"/>
      <c r="C2320" s="83"/>
      <c r="D2320" s="84"/>
      <c r="E2320" s="87" t="s">
        <v>26</v>
      </c>
      <c r="F2320" s="81" t="s">
        <v>153</v>
      </c>
      <c r="G2320" s="45"/>
      <c r="H2320" s="181"/>
      <c r="I2320" s="182" t="s">
        <v>13</v>
      </c>
    </row>
    <row r="2321" spans="2:9" ht="13.2">
      <c r="B2321" s="367" t="s">
        <v>256</v>
      </c>
      <c r="C2321" s="375" t="s">
        <v>174</v>
      </c>
      <c r="D2321" s="374"/>
      <c r="E2321" s="376" t="s">
        <v>27</v>
      </c>
      <c r="F2321" s="377"/>
      <c r="G2321" s="396"/>
      <c r="H2321" s="446"/>
      <c r="I2321" s="380"/>
    </row>
    <row r="2322" spans="2:9" ht="24">
      <c r="B2322" s="367"/>
      <c r="C2322" s="71"/>
      <c r="D2322" s="72"/>
      <c r="E2322" s="73" t="s">
        <v>241</v>
      </c>
      <c r="F2322" s="30"/>
      <c r="G2322" s="47"/>
      <c r="H2322" s="38"/>
      <c r="I2322" s="38"/>
    </row>
    <row r="2323" spans="2:9" ht="13.2">
      <c r="B2323" s="367" t="s">
        <v>257</v>
      </c>
      <c r="C2323" s="66" t="s">
        <v>176</v>
      </c>
      <c r="D2323" s="66"/>
      <c r="E2323" s="90" t="s">
        <v>31</v>
      </c>
      <c r="F2323" s="81" t="s">
        <v>13</v>
      </c>
      <c r="G2323" s="291" t="s">
        <v>13</v>
      </c>
      <c r="H2323" s="167" t="s">
        <v>13</v>
      </c>
      <c r="I2323" s="65" t="s">
        <v>13</v>
      </c>
    </row>
    <row r="2324" spans="2:9" ht="13.2">
      <c r="B2324" s="368" t="s">
        <v>258</v>
      </c>
      <c r="C2324" s="66"/>
      <c r="D2324" s="66"/>
      <c r="E2324" s="67" t="s">
        <v>450</v>
      </c>
      <c r="F2324" s="62" t="s">
        <v>17</v>
      </c>
      <c r="G2324" s="299">
        <v>92</v>
      </c>
      <c r="H2324" s="69">
        <f>L2324*$K$5</f>
        <v>0</v>
      </c>
      <c r="I2324" s="312">
        <f t="shared" ref="I2324:I2325" si="249">ROUND($G2324*H2324,2)</f>
        <v>0</v>
      </c>
    </row>
    <row r="2325" spans="2:9" ht="22.8">
      <c r="B2325" s="368" t="s">
        <v>665</v>
      </c>
      <c r="C2325" s="66"/>
      <c r="D2325" s="66"/>
      <c r="E2325" s="67" t="s">
        <v>658</v>
      </c>
      <c r="F2325" s="62" t="s">
        <v>17</v>
      </c>
      <c r="G2325" s="299">
        <v>10</v>
      </c>
      <c r="H2325" s="69">
        <f>L2325*$K$5</f>
        <v>0</v>
      </c>
      <c r="I2325" s="312">
        <f t="shared" si="249"/>
        <v>0</v>
      </c>
    </row>
    <row r="2326" spans="2:9" ht="13.2">
      <c r="B2326" s="369"/>
      <c r="C2326" s="62"/>
      <c r="D2326" s="95"/>
      <c r="E2326" s="87" t="s">
        <v>39</v>
      </c>
      <c r="F2326" s="62" t="s">
        <v>153</v>
      </c>
      <c r="G2326" s="96"/>
      <c r="H2326" s="181"/>
      <c r="I2326" s="182" t="s">
        <v>13</v>
      </c>
    </row>
    <row r="2327" spans="2:9" ht="13.2">
      <c r="B2327" s="367" t="s">
        <v>259</v>
      </c>
      <c r="C2327" s="74" t="s">
        <v>181</v>
      </c>
      <c r="D2327" s="75"/>
      <c r="E2327" s="97" t="s">
        <v>139</v>
      </c>
      <c r="F2327" s="62" t="s">
        <v>13</v>
      </c>
      <c r="G2327" s="276" t="s">
        <v>13</v>
      </c>
      <c r="H2327" s="64" t="s">
        <v>13</v>
      </c>
      <c r="I2327" s="65" t="s">
        <v>13</v>
      </c>
    </row>
    <row r="2328" spans="2:9" ht="22.8">
      <c r="B2328" s="368" t="s">
        <v>260</v>
      </c>
      <c r="C2328" s="101"/>
      <c r="D2328" s="102"/>
      <c r="E2328" s="100" t="s">
        <v>141</v>
      </c>
      <c r="F2328" s="62" t="s">
        <v>17</v>
      </c>
      <c r="G2328" s="299">
        <v>2</v>
      </c>
      <c r="H2328" s="69">
        <f>L2328*$K$5</f>
        <v>0</v>
      </c>
      <c r="I2328" s="312">
        <f>ROUND($G2328*H2328,2)</f>
        <v>0</v>
      </c>
    </row>
    <row r="2329" spans="2:9" ht="13.2">
      <c r="B2329" s="369"/>
      <c r="C2329" s="103"/>
      <c r="D2329" s="104"/>
      <c r="E2329" s="87" t="s">
        <v>43</v>
      </c>
      <c r="F2329" s="62" t="s">
        <v>153</v>
      </c>
      <c r="G2329" s="46"/>
      <c r="H2329" s="181"/>
      <c r="I2329" s="182" t="s">
        <v>13</v>
      </c>
    </row>
    <row r="2330" spans="2:9" ht="13.2">
      <c r="B2330" s="367" t="s">
        <v>272</v>
      </c>
      <c r="C2330" s="375" t="s">
        <v>200</v>
      </c>
      <c r="D2330" s="374"/>
      <c r="E2330" s="376" t="s">
        <v>44</v>
      </c>
      <c r="F2330" s="377"/>
      <c r="G2330" s="444"/>
      <c r="H2330" s="446"/>
      <c r="I2330" s="380"/>
    </row>
    <row r="2331" spans="2:9" ht="24">
      <c r="B2331" s="367"/>
      <c r="C2331" s="71"/>
      <c r="D2331" s="72"/>
      <c r="E2331" s="73" t="s">
        <v>241</v>
      </c>
      <c r="F2331" s="30"/>
      <c r="G2331" s="300"/>
      <c r="H2331" s="38"/>
      <c r="I2331" s="38"/>
    </row>
    <row r="2332" spans="2:9" ht="13.2">
      <c r="B2332" s="367" t="s">
        <v>273</v>
      </c>
      <c r="C2332" s="74" t="s">
        <v>167</v>
      </c>
      <c r="D2332" s="74"/>
      <c r="E2332" s="90" t="s">
        <v>132</v>
      </c>
      <c r="F2332" s="62" t="s">
        <v>13</v>
      </c>
      <c r="G2332" s="291" t="s">
        <v>13</v>
      </c>
      <c r="H2332" s="64" t="s">
        <v>13</v>
      </c>
      <c r="I2332" s="65" t="s">
        <v>13</v>
      </c>
    </row>
    <row r="2333" spans="2:9" ht="13.2">
      <c r="B2333" s="368" t="s">
        <v>339</v>
      </c>
      <c r="C2333" s="106"/>
      <c r="D2333" s="106"/>
      <c r="E2333" s="67" t="s">
        <v>681</v>
      </c>
      <c r="F2333" s="62" t="s">
        <v>23</v>
      </c>
      <c r="G2333" s="299">
        <v>625</v>
      </c>
      <c r="H2333" s="69">
        <f>L2333*$K$5</f>
        <v>0</v>
      </c>
      <c r="I2333" s="312">
        <f>ROUND($G2333*H2333,2)</f>
        <v>0</v>
      </c>
    </row>
    <row r="2334" spans="2:9" ht="13.2">
      <c r="B2334" s="367" t="s">
        <v>343</v>
      </c>
      <c r="C2334" s="74" t="s">
        <v>354</v>
      </c>
      <c r="D2334" s="74"/>
      <c r="E2334" s="110" t="s">
        <v>356</v>
      </c>
      <c r="F2334" s="170" t="s">
        <v>13</v>
      </c>
      <c r="G2334" s="291" t="s">
        <v>13</v>
      </c>
      <c r="H2334" s="69" t="s">
        <v>13</v>
      </c>
      <c r="I2334" s="65" t="s">
        <v>13</v>
      </c>
    </row>
    <row r="2335" spans="2:9" ht="22.8">
      <c r="B2335" s="368" t="s">
        <v>670</v>
      </c>
      <c r="C2335" s="313" t="s">
        <v>355</v>
      </c>
      <c r="D2335" s="313"/>
      <c r="E2335" s="110" t="s">
        <v>357</v>
      </c>
      <c r="F2335" s="170" t="s">
        <v>13</v>
      </c>
      <c r="G2335" s="48" t="s">
        <v>13</v>
      </c>
      <c r="H2335" s="69" t="s">
        <v>13</v>
      </c>
      <c r="I2335" s="49" t="s">
        <v>13</v>
      </c>
    </row>
    <row r="2336" spans="2:9" ht="22.8">
      <c r="B2336" s="368" t="s">
        <v>347</v>
      </c>
      <c r="C2336" s="206"/>
      <c r="D2336" s="206"/>
      <c r="E2336" s="92" t="s">
        <v>682</v>
      </c>
      <c r="F2336" s="109" t="s">
        <v>15</v>
      </c>
      <c r="G2336" s="203">
        <f>95+44</f>
        <v>139</v>
      </c>
      <c r="H2336" s="69">
        <f t="shared" ref="H2336" si="250">L2336*$K$5</f>
        <v>0</v>
      </c>
      <c r="I2336" s="312">
        <f>ROUND($G2336*H2336,2)</f>
        <v>0</v>
      </c>
    </row>
    <row r="2337" spans="2:9" ht="13.2">
      <c r="B2337" s="367" t="s">
        <v>349</v>
      </c>
      <c r="C2337" s="74" t="s">
        <v>427</v>
      </c>
      <c r="D2337" s="74"/>
      <c r="E2337" s="90" t="s">
        <v>350</v>
      </c>
      <c r="F2337" s="109" t="s">
        <v>13</v>
      </c>
      <c r="G2337" s="291" t="s">
        <v>13</v>
      </c>
      <c r="H2337" s="64"/>
      <c r="I2337" s="65" t="s">
        <v>13</v>
      </c>
    </row>
    <row r="2338" spans="2:9" ht="13.2">
      <c r="B2338" s="369"/>
      <c r="C2338" s="12"/>
      <c r="D2338" s="25"/>
      <c r="E2338" s="87" t="s">
        <v>46</v>
      </c>
      <c r="F2338" s="13" t="s">
        <v>153</v>
      </c>
      <c r="G2338" s="96"/>
      <c r="H2338" s="181"/>
      <c r="I2338" s="182" t="s">
        <v>13</v>
      </c>
    </row>
    <row r="2339" spans="2:9" ht="13.2">
      <c r="B2339" s="367" t="s">
        <v>275</v>
      </c>
      <c r="C2339" s="375" t="s">
        <v>201</v>
      </c>
      <c r="D2339" s="374"/>
      <c r="E2339" s="407" t="s">
        <v>380</v>
      </c>
      <c r="F2339" s="377"/>
      <c r="G2339" s="396"/>
      <c r="H2339" s="446"/>
      <c r="I2339" s="380"/>
    </row>
    <row r="2340" spans="2:9" ht="24">
      <c r="B2340" s="367"/>
      <c r="C2340" s="71"/>
      <c r="D2340" s="72"/>
      <c r="E2340" s="73" t="s">
        <v>241</v>
      </c>
      <c r="F2340" s="30"/>
      <c r="G2340" s="47"/>
      <c r="H2340" s="38"/>
      <c r="I2340" s="38"/>
    </row>
    <row r="2341" spans="2:9" ht="13.2">
      <c r="B2341" s="367" t="s">
        <v>276</v>
      </c>
      <c r="C2341" s="60" t="s">
        <v>182</v>
      </c>
      <c r="D2341" s="60"/>
      <c r="E2341" s="90" t="s">
        <v>49</v>
      </c>
      <c r="F2341" s="62" t="s">
        <v>13</v>
      </c>
      <c r="G2341" s="276" t="s">
        <v>13</v>
      </c>
      <c r="H2341" s="64"/>
      <c r="I2341" s="65" t="s">
        <v>13</v>
      </c>
    </row>
    <row r="2342" spans="2:9" ht="45.6">
      <c r="B2342" s="368" t="s">
        <v>277</v>
      </c>
      <c r="C2342" s="83"/>
      <c r="D2342" s="83"/>
      <c r="E2342" s="92" t="s">
        <v>149</v>
      </c>
      <c r="F2342" s="62" t="s">
        <v>15</v>
      </c>
      <c r="G2342" s="299">
        <v>25</v>
      </c>
      <c r="H2342" s="69">
        <f>L2342*$K$5</f>
        <v>0</v>
      </c>
      <c r="I2342" s="312">
        <f>ROUND($G2342*H2342,2)</f>
        <v>0</v>
      </c>
    </row>
    <row r="2343" spans="2:9" ht="13.2">
      <c r="B2343" s="367" t="s">
        <v>279</v>
      </c>
      <c r="C2343" s="74" t="s">
        <v>185</v>
      </c>
      <c r="D2343" s="74"/>
      <c r="E2343" s="90" t="s">
        <v>151</v>
      </c>
      <c r="F2343" s="81" t="s">
        <v>13</v>
      </c>
      <c r="G2343" s="291" t="s">
        <v>13</v>
      </c>
      <c r="H2343" s="69" t="s">
        <v>13</v>
      </c>
      <c r="I2343" s="65" t="s">
        <v>13</v>
      </c>
    </row>
    <row r="2344" spans="2:9" ht="22.8">
      <c r="B2344" s="368" t="s">
        <v>280</v>
      </c>
      <c r="C2344" s="98"/>
      <c r="D2344" s="98"/>
      <c r="E2344" s="90" t="s">
        <v>152</v>
      </c>
      <c r="F2344" s="83" t="s">
        <v>15</v>
      </c>
      <c r="G2344" s="299">
        <v>20</v>
      </c>
      <c r="H2344" s="69">
        <f t="shared" ref="H2344" si="251">L2344*$K$5</f>
        <v>0</v>
      </c>
      <c r="I2344" s="312">
        <f>ROUND($G2344*H2344,2)</f>
        <v>0</v>
      </c>
    </row>
    <row r="2345" spans="2:9" ht="13.2">
      <c r="B2345" s="369"/>
      <c r="C2345" s="12"/>
      <c r="D2345" s="25"/>
      <c r="E2345" s="87" t="s">
        <v>58</v>
      </c>
      <c r="F2345" s="13" t="s">
        <v>153</v>
      </c>
      <c r="G2345" s="96"/>
      <c r="H2345" s="181"/>
      <c r="I2345" s="182" t="s">
        <v>13</v>
      </c>
    </row>
    <row r="2346" spans="2:9" ht="13.2">
      <c r="B2346" s="367" t="s">
        <v>288</v>
      </c>
      <c r="C2346" s="385" t="s">
        <v>186</v>
      </c>
      <c r="D2346" s="386"/>
      <c r="E2346" s="387" t="s">
        <v>81</v>
      </c>
      <c r="F2346" s="388"/>
      <c r="G2346" s="396"/>
      <c r="H2346" s="396"/>
      <c r="I2346" s="380"/>
    </row>
    <row r="2347" spans="2:9" ht="24">
      <c r="B2347" s="367"/>
      <c r="C2347" s="71"/>
      <c r="D2347" s="72"/>
      <c r="E2347" s="73" t="s">
        <v>241</v>
      </c>
      <c r="F2347" s="30"/>
      <c r="G2347" s="314"/>
      <c r="H2347" s="38"/>
      <c r="I2347" s="113"/>
    </row>
    <row r="2348" spans="2:9" ht="13.2">
      <c r="B2348" s="367" t="s">
        <v>289</v>
      </c>
      <c r="C2348" s="74" t="s">
        <v>187</v>
      </c>
      <c r="D2348" s="74"/>
      <c r="E2348" s="61" t="s">
        <v>683</v>
      </c>
      <c r="F2348" s="62" t="s">
        <v>13</v>
      </c>
      <c r="G2348" s="271" t="s">
        <v>13</v>
      </c>
      <c r="H2348" s="64" t="s">
        <v>13</v>
      </c>
      <c r="I2348" s="65" t="s">
        <v>13</v>
      </c>
    </row>
    <row r="2349" spans="2:9" ht="22.8">
      <c r="B2349" s="368" t="s">
        <v>290</v>
      </c>
      <c r="C2349" s="115"/>
      <c r="D2349" s="115"/>
      <c r="E2349" s="67" t="s">
        <v>388</v>
      </c>
      <c r="F2349" s="62" t="s">
        <v>4</v>
      </c>
      <c r="G2349" s="299">
        <v>2</v>
      </c>
      <c r="H2349" s="69">
        <f>L2349*$K$5</f>
        <v>0</v>
      </c>
      <c r="I2349" s="312">
        <f>ROUND($G2349*H2349,2)</f>
        <v>0</v>
      </c>
    </row>
    <row r="2350" spans="2:9" ht="13.2">
      <c r="B2350" s="369"/>
      <c r="C2350" s="73"/>
      <c r="D2350" s="118"/>
      <c r="E2350" s="112" t="s">
        <v>85</v>
      </c>
      <c r="F2350" s="13" t="s">
        <v>153</v>
      </c>
      <c r="G2350" s="119"/>
      <c r="H2350" s="181"/>
      <c r="I2350" s="182" t="s">
        <v>13</v>
      </c>
    </row>
    <row r="2351" spans="2:9" ht="13.2">
      <c r="B2351" s="367" t="s">
        <v>292</v>
      </c>
      <c r="C2351" s="375" t="s">
        <v>188</v>
      </c>
      <c r="D2351" s="374"/>
      <c r="E2351" s="376" t="s">
        <v>59</v>
      </c>
      <c r="F2351" s="377"/>
      <c r="G2351" s="396"/>
      <c r="H2351" s="446"/>
      <c r="I2351" s="380"/>
    </row>
    <row r="2352" spans="2:9" ht="24">
      <c r="B2352" s="367"/>
      <c r="C2352" s="71"/>
      <c r="D2352" s="72"/>
      <c r="E2352" s="73" t="s">
        <v>241</v>
      </c>
      <c r="F2352" s="30"/>
      <c r="G2352" s="47"/>
      <c r="H2352" s="38"/>
      <c r="I2352" s="38"/>
    </row>
    <row r="2353" spans="2:9" ht="13.2">
      <c r="B2353" s="367" t="s">
        <v>293</v>
      </c>
      <c r="C2353" s="120" t="s">
        <v>189</v>
      </c>
      <c r="D2353" s="121"/>
      <c r="E2353" s="122" t="s">
        <v>60</v>
      </c>
      <c r="F2353" s="62" t="s">
        <v>13</v>
      </c>
      <c r="G2353" s="276" t="s">
        <v>13</v>
      </c>
      <c r="H2353" s="64" t="s">
        <v>13</v>
      </c>
      <c r="I2353" s="65" t="s">
        <v>13</v>
      </c>
    </row>
    <row r="2354" spans="2:9" ht="13.2">
      <c r="B2354" s="368" t="s">
        <v>294</v>
      </c>
      <c r="C2354" s="123"/>
      <c r="D2354" s="124"/>
      <c r="E2354" s="80" t="s">
        <v>660</v>
      </c>
      <c r="F2354" s="81" t="s">
        <v>4</v>
      </c>
      <c r="G2354" s="299">
        <v>12</v>
      </c>
      <c r="H2354" s="69">
        <f>L2354*$K$5</f>
        <v>0</v>
      </c>
      <c r="I2354" s="312">
        <f>ROUND($G2354*H2354,2)</f>
        <v>0</v>
      </c>
    </row>
    <row r="2355" spans="2:9" ht="34.200000000000003">
      <c r="B2355" s="368" t="s">
        <v>295</v>
      </c>
      <c r="C2355" s="125"/>
      <c r="D2355" s="126"/>
      <c r="E2355" s="127" t="s">
        <v>144</v>
      </c>
      <c r="F2355" s="128" t="s">
        <v>4</v>
      </c>
      <c r="G2355" s="299">
        <v>16</v>
      </c>
      <c r="H2355" s="69">
        <f>L2355*$K$5</f>
        <v>0</v>
      </c>
      <c r="I2355" s="312">
        <f>ROUND($G2355*H2355,2)</f>
        <v>0</v>
      </c>
    </row>
    <row r="2356" spans="2:9" ht="13.2">
      <c r="B2356" s="369"/>
      <c r="C2356" s="129"/>
      <c r="D2356" s="130"/>
      <c r="E2356" s="87" t="s">
        <v>61</v>
      </c>
      <c r="F2356" s="13" t="s">
        <v>153</v>
      </c>
      <c r="G2356" s="119"/>
      <c r="H2356" s="181"/>
      <c r="I2356" s="182" t="s">
        <v>13</v>
      </c>
    </row>
    <row r="2357" spans="2:9" ht="13.2">
      <c r="B2357" s="367" t="s">
        <v>297</v>
      </c>
      <c r="C2357" s="375" t="s">
        <v>190</v>
      </c>
      <c r="D2357" s="374"/>
      <c r="E2357" s="376" t="s">
        <v>62</v>
      </c>
      <c r="F2357" s="377"/>
      <c r="G2357" s="396"/>
      <c r="H2357" s="446"/>
      <c r="I2357" s="380"/>
    </row>
    <row r="2358" spans="2:9" ht="24">
      <c r="B2358" s="367"/>
      <c r="C2358" s="71"/>
      <c r="D2358" s="72"/>
      <c r="E2358" s="73" t="s">
        <v>241</v>
      </c>
      <c r="F2358" s="30"/>
      <c r="G2358" s="36"/>
      <c r="H2358" s="38"/>
      <c r="I2358" s="38"/>
    </row>
    <row r="2359" spans="2:9" ht="13.2">
      <c r="B2359" s="367" t="s">
        <v>298</v>
      </c>
      <c r="C2359" s="60" t="s">
        <v>191</v>
      </c>
      <c r="D2359" s="60"/>
      <c r="E2359" s="90" t="s">
        <v>244</v>
      </c>
      <c r="F2359" s="62" t="s">
        <v>13</v>
      </c>
      <c r="G2359" s="276" t="s">
        <v>13</v>
      </c>
      <c r="H2359" s="64" t="s">
        <v>13</v>
      </c>
      <c r="I2359" s="65" t="s">
        <v>13</v>
      </c>
    </row>
    <row r="2360" spans="2:9" ht="22.8">
      <c r="B2360" s="368" t="s">
        <v>299</v>
      </c>
      <c r="C2360" s="66"/>
      <c r="D2360" s="66"/>
      <c r="E2360" s="266" t="s">
        <v>684</v>
      </c>
      <c r="F2360" s="132" t="s">
        <v>23</v>
      </c>
      <c r="G2360" s="299">
        <v>1650</v>
      </c>
      <c r="H2360" s="69">
        <f>L2360*$K$5</f>
        <v>0</v>
      </c>
      <c r="I2360" s="312">
        <f>ROUND($G2360*H2360,2)</f>
        <v>0</v>
      </c>
    </row>
    <row r="2361" spans="2:9" ht="13.2">
      <c r="B2361" s="369"/>
      <c r="C2361" s="12"/>
      <c r="D2361" s="25"/>
      <c r="E2361" s="87" t="s">
        <v>63</v>
      </c>
      <c r="F2361" s="13"/>
      <c r="G2361" s="134"/>
      <c r="H2361" s="181"/>
      <c r="I2361" s="182" t="s">
        <v>13</v>
      </c>
    </row>
    <row r="2362" spans="2:9" ht="13.2">
      <c r="B2362" s="367" t="s">
        <v>301</v>
      </c>
      <c r="C2362" s="375" t="s">
        <v>192</v>
      </c>
      <c r="D2362" s="374"/>
      <c r="E2362" s="376" t="s">
        <v>64</v>
      </c>
      <c r="F2362" s="377"/>
      <c r="G2362" s="396"/>
      <c r="H2362" s="446"/>
      <c r="I2362" s="380"/>
    </row>
    <row r="2363" spans="2:9" ht="24">
      <c r="B2363" s="367"/>
      <c r="C2363" s="71"/>
      <c r="D2363" s="72"/>
      <c r="E2363" s="73" t="s">
        <v>241</v>
      </c>
      <c r="F2363" s="30"/>
      <c r="G2363" s="47"/>
      <c r="H2363" s="38"/>
      <c r="I2363" s="38"/>
    </row>
    <row r="2364" spans="2:9" ht="13.2">
      <c r="B2364" s="367" t="s">
        <v>302</v>
      </c>
      <c r="C2364" s="74" t="s">
        <v>169</v>
      </c>
      <c r="D2364" s="75"/>
      <c r="E2364" s="122" t="s">
        <v>69</v>
      </c>
      <c r="F2364" s="62" t="s">
        <v>13</v>
      </c>
      <c r="G2364" s="276" t="s">
        <v>13</v>
      </c>
      <c r="H2364" s="64" t="s">
        <v>13</v>
      </c>
      <c r="I2364" s="65" t="s">
        <v>13</v>
      </c>
    </row>
    <row r="2365" spans="2:9" ht="22.8">
      <c r="B2365" s="368" t="s">
        <v>303</v>
      </c>
      <c r="C2365" s="98"/>
      <c r="D2365" s="99"/>
      <c r="E2365" s="85" t="s">
        <v>661</v>
      </c>
      <c r="F2365" s="81" t="s">
        <v>16</v>
      </c>
      <c r="G2365" s="299">
        <v>140</v>
      </c>
      <c r="H2365" s="69">
        <f>L2365*$K$5</f>
        <v>0</v>
      </c>
      <c r="I2365" s="312">
        <f t="shared" ref="I2365:I2367" si="252">ROUND($G2365*H2365,2)</f>
        <v>0</v>
      </c>
    </row>
    <row r="2366" spans="2:9" ht="22.8">
      <c r="B2366" s="368" t="s">
        <v>632</v>
      </c>
      <c r="C2366" s="98"/>
      <c r="D2366" s="99"/>
      <c r="E2366" s="80" t="s">
        <v>70</v>
      </c>
      <c r="F2366" s="62" t="s">
        <v>4</v>
      </c>
      <c r="G2366" s="299">
        <v>39</v>
      </c>
      <c r="H2366" s="69">
        <f t="shared" ref="H2366:H2379" si="253">L2366*$K$5</f>
        <v>0</v>
      </c>
      <c r="I2366" s="312">
        <f t="shared" si="252"/>
        <v>0</v>
      </c>
    </row>
    <row r="2367" spans="2:9" ht="22.8">
      <c r="B2367" s="368" t="s">
        <v>662</v>
      </c>
      <c r="C2367" s="98"/>
      <c r="D2367" s="98"/>
      <c r="E2367" s="139" t="s">
        <v>142</v>
      </c>
      <c r="F2367" s="62" t="s">
        <v>4</v>
      </c>
      <c r="G2367" s="299">
        <v>52</v>
      </c>
      <c r="H2367" s="69">
        <f t="shared" si="253"/>
        <v>0</v>
      </c>
      <c r="I2367" s="312">
        <f t="shared" si="252"/>
        <v>0</v>
      </c>
    </row>
    <row r="2368" spans="2:9" ht="13.2">
      <c r="B2368" s="367" t="s">
        <v>304</v>
      </c>
      <c r="C2368" s="60" t="s">
        <v>195</v>
      </c>
      <c r="D2368" s="60"/>
      <c r="E2368" s="90" t="s">
        <v>71</v>
      </c>
      <c r="F2368" s="140" t="s">
        <v>13</v>
      </c>
      <c r="G2368" s="140" t="s">
        <v>13</v>
      </c>
      <c r="H2368" s="69" t="s">
        <v>13</v>
      </c>
      <c r="I2368" s="65" t="s">
        <v>13</v>
      </c>
    </row>
    <row r="2369" spans="2:9" ht="57">
      <c r="B2369" s="368" t="s">
        <v>305</v>
      </c>
      <c r="C2369" s="66"/>
      <c r="D2369" s="66"/>
      <c r="E2369" s="141" t="s">
        <v>127</v>
      </c>
      <c r="F2369" s="137" t="s">
        <v>16</v>
      </c>
      <c r="G2369" s="299">
        <v>146</v>
      </c>
      <c r="H2369" s="69">
        <f t="shared" si="253"/>
        <v>0</v>
      </c>
      <c r="I2369" s="312">
        <f t="shared" ref="I2369:I2370" si="254">ROUND($G2369*H2369,2)</f>
        <v>0</v>
      </c>
    </row>
    <row r="2370" spans="2:9" ht="45.6">
      <c r="B2370" s="368" t="s">
        <v>306</v>
      </c>
      <c r="C2370" s="83"/>
      <c r="D2370" s="83"/>
      <c r="E2370" s="67" t="s">
        <v>125</v>
      </c>
      <c r="F2370" s="81" t="s">
        <v>16</v>
      </c>
      <c r="G2370" s="299">
        <v>50</v>
      </c>
      <c r="H2370" s="69">
        <f t="shared" si="253"/>
        <v>0</v>
      </c>
      <c r="I2370" s="312">
        <f t="shared" si="254"/>
        <v>0</v>
      </c>
    </row>
    <row r="2371" spans="2:9" ht="22.8">
      <c r="B2371" s="367" t="s">
        <v>307</v>
      </c>
      <c r="C2371" s="60" t="s">
        <v>196</v>
      </c>
      <c r="D2371" s="60"/>
      <c r="E2371" s="145" t="s">
        <v>131</v>
      </c>
      <c r="F2371" s="146" t="s">
        <v>13</v>
      </c>
      <c r="G2371" s="302" t="s">
        <v>13</v>
      </c>
      <c r="H2371" s="69" t="s">
        <v>13</v>
      </c>
      <c r="I2371" s="65" t="s">
        <v>13</v>
      </c>
    </row>
    <row r="2372" spans="2:9" ht="34.200000000000003">
      <c r="B2372" s="368" t="s">
        <v>308</v>
      </c>
      <c r="C2372" s="66"/>
      <c r="D2372" s="66"/>
      <c r="E2372" s="147" t="s">
        <v>574</v>
      </c>
      <c r="F2372" s="146" t="s">
        <v>4</v>
      </c>
      <c r="G2372" s="299">
        <v>136</v>
      </c>
      <c r="H2372" s="69">
        <f t="shared" si="253"/>
        <v>0</v>
      </c>
      <c r="I2372" s="312">
        <f>ROUND($G2372*H2372,2)</f>
        <v>0</v>
      </c>
    </row>
    <row r="2373" spans="2:9" ht="22.8">
      <c r="B2373" s="367" t="s">
        <v>557</v>
      </c>
      <c r="C2373" s="74" t="s">
        <v>197</v>
      </c>
      <c r="D2373" s="74"/>
      <c r="E2373" s="148" t="s">
        <v>73</v>
      </c>
      <c r="F2373" s="81" t="s">
        <v>13</v>
      </c>
      <c r="G2373" s="291" t="s">
        <v>13</v>
      </c>
      <c r="H2373" s="69" t="s">
        <v>13</v>
      </c>
      <c r="I2373" s="65" t="s">
        <v>13</v>
      </c>
    </row>
    <row r="2374" spans="2:9" ht="13.2">
      <c r="B2374" s="368" t="s">
        <v>558</v>
      </c>
      <c r="C2374" s="98"/>
      <c r="D2374" s="98"/>
      <c r="E2374" s="149" t="s">
        <v>74</v>
      </c>
      <c r="F2374" s="136" t="s">
        <v>3</v>
      </c>
      <c r="G2374" s="307">
        <v>1</v>
      </c>
      <c r="H2374" s="69">
        <f t="shared" si="253"/>
        <v>0</v>
      </c>
      <c r="I2374" s="312">
        <f t="shared" ref="I2374:I2375" si="255">ROUND($G2374*H2374,2)</f>
        <v>0</v>
      </c>
    </row>
    <row r="2375" spans="2:9" ht="22.8">
      <c r="B2375" s="368" t="s">
        <v>559</v>
      </c>
      <c r="C2375" s="101"/>
      <c r="D2375" s="101"/>
      <c r="E2375" s="150" t="s">
        <v>128</v>
      </c>
      <c r="F2375" s="151" t="s">
        <v>3</v>
      </c>
      <c r="G2375" s="307">
        <v>20</v>
      </c>
      <c r="H2375" s="69">
        <f t="shared" si="253"/>
        <v>0</v>
      </c>
      <c r="I2375" s="312">
        <f t="shared" si="255"/>
        <v>0</v>
      </c>
    </row>
    <row r="2376" spans="2:9" ht="13.2">
      <c r="B2376" s="367" t="s">
        <v>311</v>
      </c>
      <c r="C2376" s="60" t="s">
        <v>198</v>
      </c>
      <c r="D2376" s="60"/>
      <c r="E2376" s="152" t="s">
        <v>75</v>
      </c>
      <c r="F2376" s="153" t="s">
        <v>13</v>
      </c>
      <c r="G2376" s="315" t="s">
        <v>13</v>
      </c>
      <c r="H2376" s="69" t="s">
        <v>13</v>
      </c>
      <c r="I2376" s="65" t="s">
        <v>13</v>
      </c>
    </row>
    <row r="2377" spans="2:9" ht="13.2">
      <c r="B2377" s="368" t="s">
        <v>312</v>
      </c>
      <c r="C2377" s="83"/>
      <c r="D2377" s="83"/>
      <c r="E2377" s="67" t="s">
        <v>164</v>
      </c>
      <c r="F2377" s="81" t="s">
        <v>16</v>
      </c>
      <c r="G2377" s="299">
        <v>85</v>
      </c>
      <c r="H2377" s="69">
        <f>L2377*$K$5</f>
        <v>0</v>
      </c>
      <c r="I2377" s="312">
        <f>ROUND($G2377*H2377,2)</f>
        <v>0</v>
      </c>
    </row>
    <row r="2378" spans="2:9" ht="13.2">
      <c r="B2378" s="370" t="s">
        <v>685</v>
      </c>
      <c r="C2378" s="66" t="s">
        <v>562</v>
      </c>
      <c r="D2378" s="157"/>
      <c r="E2378" s="156" t="s">
        <v>563</v>
      </c>
      <c r="F2378" s="128" t="s">
        <v>13</v>
      </c>
      <c r="G2378" s="308" t="s">
        <v>13</v>
      </c>
      <c r="H2378" s="69" t="s">
        <v>13</v>
      </c>
      <c r="I2378" s="65" t="s">
        <v>13</v>
      </c>
    </row>
    <row r="2379" spans="2:9" ht="13.2">
      <c r="B2379" s="370" t="s">
        <v>315</v>
      </c>
      <c r="C2379" s="83"/>
      <c r="D2379" s="159"/>
      <c r="E2379" s="158" t="s">
        <v>643</v>
      </c>
      <c r="F2379" s="81" t="s">
        <v>4</v>
      </c>
      <c r="G2379" s="299">
        <v>18</v>
      </c>
      <c r="H2379" s="69">
        <f t="shared" si="253"/>
        <v>0</v>
      </c>
      <c r="I2379" s="312">
        <f>ROUND($G2379*H2379,2)</f>
        <v>0</v>
      </c>
    </row>
    <row r="2380" spans="2:9" ht="13.2">
      <c r="B2380" s="369"/>
      <c r="C2380" s="12"/>
      <c r="D2380" s="25"/>
      <c r="E2380" s="14" t="s">
        <v>77</v>
      </c>
      <c r="F2380" s="13"/>
      <c r="G2380" s="45"/>
      <c r="H2380" s="41"/>
      <c r="I2380" s="34" t="s">
        <v>13</v>
      </c>
    </row>
    <row r="2381" spans="2:9" ht="13.8">
      <c r="B2381" s="367"/>
      <c r="C2381" s="562" t="s">
        <v>332</v>
      </c>
      <c r="D2381" s="562"/>
      <c r="E2381" s="562"/>
      <c r="F2381" s="7"/>
      <c r="G2381" s="45"/>
      <c r="H2381" s="33" t="s">
        <v>13</v>
      </c>
      <c r="I2381" s="10">
        <f>SUM(I2310:I2379)</f>
        <v>0</v>
      </c>
    </row>
    <row r="2382" spans="2:9" ht="26.4">
      <c r="B2382" s="205" t="s">
        <v>334</v>
      </c>
      <c r="C2382" s="563" t="s">
        <v>686</v>
      </c>
      <c r="D2382" s="564"/>
      <c r="E2382" s="565"/>
      <c r="F2382" s="565"/>
      <c r="G2382" s="565"/>
      <c r="H2382" s="565"/>
      <c r="I2382" s="566"/>
    </row>
    <row r="2383" spans="2:9" ht="24">
      <c r="B2383" s="204" t="s">
        <v>0</v>
      </c>
      <c r="C2383" s="404" t="s">
        <v>210</v>
      </c>
      <c r="D2383" s="404" t="s">
        <v>333</v>
      </c>
      <c r="E2383" s="405" t="s">
        <v>203</v>
      </c>
      <c r="F2383" s="310" t="s">
        <v>204</v>
      </c>
      <c r="G2383" s="310" t="s">
        <v>1</v>
      </c>
      <c r="H2383" s="41" t="s">
        <v>111</v>
      </c>
      <c r="I2383" s="406" t="s">
        <v>112</v>
      </c>
    </row>
    <row r="2384" spans="2:9" ht="13.2">
      <c r="B2384" s="367" t="s">
        <v>439</v>
      </c>
      <c r="C2384" s="375" t="s">
        <v>440</v>
      </c>
      <c r="D2384" s="374"/>
      <c r="E2384" s="376" t="s">
        <v>441</v>
      </c>
      <c r="F2384" s="377"/>
      <c r="G2384" s="396"/>
      <c r="H2384" s="446"/>
      <c r="I2384" s="380"/>
    </row>
    <row r="2385" spans="2:9" ht="13.2">
      <c r="B2385" s="367" t="s">
        <v>248</v>
      </c>
      <c r="C2385" s="60" t="s">
        <v>166</v>
      </c>
      <c r="D2385" s="316"/>
      <c r="E2385" s="85" t="s">
        <v>687</v>
      </c>
      <c r="F2385" s="62" t="s">
        <v>13</v>
      </c>
      <c r="G2385" s="63" t="s">
        <v>13</v>
      </c>
      <c r="H2385" s="64" t="s">
        <v>13</v>
      </c>
      <c r="I2385" s="65" t="s">
        <v>13</v>
      </c>
    </row>
    <row r="2386" spans="2:9" ht="13.2">
      <c r="B2386" s="368" t="s">
        <v>249</v>
      </c>
      <c r="C2386" s="66"/>
      <c r="D2386" s="82"/>
      <c r="E2386" s="174" t="s">
        <v>688</v>
      </c>
      <c r="F2386" s="62" t="s">
        <v>17</v>
      </c>
      <c r="G2386" s="299">
        <v>78</v>
      </c>
      <c r="H2386" s="69">
        <f>L2386*$K$5</f>
        <v>0</v>
      </c>
      <c r="I2386" s="312">
        <f>ROUND($G2386*H2386,2)</f>
        <v>0</v>
      </c>
    </row>
    <row r="2387" spans="2:9" ht="13.2">
      <c r="B2387" s="368" t="s">
        <v>442</v>
      </c>
      <c r="C2387" s="197" t="s">
        <v>443</v>
      </c>
      <c r="D2387" s="197"/>
      <c r="E2387" s="198" t="s">
        <v>444</v>
      </c>
      <c r="F2387" s="62" t="s">
        <v>13</v>
      </c>
      <c r="G2387" s="48" t="s">
        <v>13</v>
      </c>
      <c r="H2387" s="69" t="s">
        <v>13</v>
      </c>
      <c r="I2387" s="49" t="s">
        <v>13</v>
      </c>
    </row>
    <row r="2388" spans="2:9" ht="22.8">
      <c r="B2388" s="368" t="s">
        <v>445</v>
      </c>
      <c r="C2388" s="200"/>
      <c r="D2388" s="201"/>
      <c r="E2388" s="80" t="s">
        <v>689</v>
      </c>
      <c r="F2388" s="62" t="s">
        <v>690</v>
      </c>
      <c r="G2388" s="299">
        <v>170</v>
      </c>
      <c r="H2388" s="69">
        <f t="shared" ref="H2388" si="256">L2388*$K$5</f>
        <v>0</v>
      </c>
      <c r="I2388" s="312">
        <f>ROUND($G2388*H2388,2)</f>
        <v>0</v>
      </c>
    </row>
    <row r="2389" spans="2:9" ht="13.2">
      <c r="B2389" s="369"/>
      <c r="C2389" s="129"/>
      <c r="D2389" s="130"/>
      <c r="E2389" s="87" t="s">
        <v>447</v>
      </c>
      <c r="F2389" s="13" t="s">
        <v>153</v>
      </c>
      <c r="G2389" s="134"/>
      <c r="H2389" s="181"/>
      <c r="I2389" s="182" t="s">
        <v>13</v>
      </c>
    </row>
    <row r="2390" spans="2:9" ht="13.2">
      <c r="B2390" s="367" t="s">
        <v>250</v>
      </c>
      <c r="C2390" s="375" t="s">
        <v>172</v>
      </c>
      <c r="D2390" s="374"/>
      <c r="E2390" s="376" t="s">
        <v>20</v>
      </c>
      <c r="F2390" s="377"/>
      <c r="G2390" s="396"/>
      <c r="H2390" s="446"/>
      <c r="I2390" s="380"/>
    </row>
    <row r="2391" spans="2:9" ht="24">
      <c r="B2391" s="367"/>
      <c r="C2391" s="71"/>
      <c r="D2391" s="72"/>
      <c r="E2391" s="73" t="s">
        <v>241</v>
      </c>
      <c r="F2391" s="30"/>
      <c r="G2391" s="47"/>
      <c r="H2391" s="38"/>
      <c r="I2391" s="38"/>
    </row>
    <row r="2392" spans="2:9" ht="13.2">
      <c r="B2392" s="367" t="s">
        <v>251</v>
      </c>
      <c r="C2392" s="74" t="s">
        <v>173</v>
      </c>
      <c r="D2392" s="75"/>
      <c r="E2392" s="76" t="s">
        <v>115</v>
      </c>
      <c r="F2392" s="62" t="s">
        <v>13</v>
      </c>
      <c r="G2392" s="63" t="s">
        <v>13</v>
      </c>
      <c r="H2392" s="64" t="s">
        <v>13</v>
      </c>
      <c r="I2392" s="65" t="s">
        <v>13</v>
      </c>
    </row>
    <row r="2393" spans="2:9" ht="13.2">
      <c r="B2393" s="369"/>
      <c r="C2393" s="77"/>
      <c r="D2393" s="78"/>
      <c r="E2393" s="79" t="s">
        <v>117</v>
      </c>
      <c r="F2393" s="62" t="s">
        <v>13</v>
      </c>
      <c r="G2393" s="63" t="s">
        <v>13</v>
      </c>
      <c r="H2393" s="64" t="s">
        <v>13</v>
      </c>
      <c r="I2393" s="65" t="s">
        <v>13</v>
      </c>
    </row>
    <row r="2394" spans="2:9" ht="13.2">
      <c r="B2394" s="368" t="s">
        <v>252</v>
      </c>
      <c r="C2394" s="66"/>
      <c r="D2394" s="82"/>
      <c r="E2394" s="80" t="s">
        <v>163</v>
      </c>
      <c r="F2394" s="81" t="s">
        <v>23</v>
      </c>
      <c r="G2394" s="165">
        <v>1880</v>
      </c>
      <c r="H2394" s="69">
        <f>L2394*$K$5</f>
        <v>0</v>
      </c>
      <c r="I2394" s="312">
        <f>ROUND($G2394*H2394,2)</f>
        <v>0</v>
      </c>
    </row>
    <row r="2395" spans="2:9" ht="13.2">
      <c r="B2395" s="368" t="s">
        <v>253</v>
      </c>
      <c r="C2395" s="83"/>
      <c r="D2395" s="84"/>
      <c r="E2395" s="80" t="s">
        <v>582</v>
      </c>
      <c r="F2395" s="81" t="s">
        <v>23</v>
      </c>
      <c r="G2395" s="165">
        <v>1715</v>
      </c>
      <c r="H2395" s="69">
        <f>L2395*$K$5</f>
        <v>0</v>
      </c>
      <c r="I2395" s="312">
        <f>ROUND($G2395*H2395,2)</f>
        <v>0</v>
      </c>
    </row>
    <row r="2396" spans="2:9" ht="13.2">
      <c r="B2396" s="369"/>
      <c r="C2396" s="83"/>
      <c r="D2396" s="84"/>
      <c r="E2396" s="87" t="s">
        <v>26</v>
      </c>
      <c r="F2396" s="81" t="s">
        <v>153</v>
      </c>
      <c r="G2396" s="45"/>
      <c r="H2396" s="181"/>
      <c r="I2396" s="182" t="s">
        <v>13</v>
      </c>
    </row>
    <row r="2397" spans="2:9" ht="13.2">
      <c r="B2397" s="367" t="s">
        <v>256</v>
      </c>
      <c r="C2397" s="375" t="s">
        <v>174</v>
      </c>
      <c r="D2397" s="374"/>
      <c r="E2397" s="376" t="s">
        <v>27</v>
      </c>
      <c r="F2397" s="377"/>
      <c r="G2397" s="396"/>
      <c r="H2397" s="446"/>
      <c r="I2397" s="380"/>
    </row>
    <row r="2398" spans="2:9" ht="24">
      <c r="B2398" s="367"/>
      <c r="C2398" s="71"/>
      <c r="D2398" s="72"/>
      <c r="E2398" s="73" t="s">
        <v>241</v>
      </c>
      <c r="F2398" s="30"/>
      <c r="G2398" s="47"/>
      <c r="H2398" s="38"/>
      <c r="I2398" s="38"/>
    </row>
    <row r="2399" spans="2:9" ht="13.2">
      <c r="B2399" s="367" t="s">
        <v>257</v>
      </c>
      <c r="C2399" s="66" t="s">
        <v>176</v>
      </c>
      <c r="D2399" s="66"/>
      <c r="E2399" s="90" t="s">
        <v>31</v>
      </c>
      <c r="F2399" s="81" t="s">
        <v>13</v>
      </c>
      <c r="G2399" s="291" t="s">
        <v>13</v>
      </c>
      <c r="H2399" s="167" t="s">
        <v>13</v>
      </c>
      <c r="I2399" s="65" t="s">
        <v>13</v>
      </c>
    </row>
    <row r="2400" spans="2:9" ht="22.8">
      <c r="B2400" s="368" t="s">
        <v>258</v>
      </c>
      <c r="C2400" s="66"/>
      <c r="D2400" s="66"/>
      <c r="E2400" s="67" t="s">
        <v>658</v>
      </c>
      <c r="F2400" s="62" t="s">
        <v>17</v>
      </c>
      <c r="G2400" s="299">
        <v>21.5</v>
      </c>
      <c r="H2400" s="69">
        <f>L2400*$K$5</f>
        <v>0</v>
      </c>
      <c r="I2400" s="312">
        <f>ROUND($G2400*H2400,2)</f>
        <v>0</v>
      </c>
    </row>
    <row r="2401" spans="2:9" ht="13.2">
      <c r="B2401" s="367" t="s">
        <v>259</v>
      </c>
      <c r="C2401" s="60" t="s">
        <v>541</v>
      </c>
      <c r="D2401" s="60"/>
      <c r="E2401" s="90" t="s">
        <v>542</v>
      </c>
      <c r="F2401" s="62" t="s">
        <v>13</v>
      </c>
      <c r="G2401" s="63" t="s">
        <v>13</v>
      </c>
      <c r="H2401" s="69" t="s">
        <v>13</v>
      </c>
      <c r="I2401" s="65" t="s">
        <v>13</v>
      </c>
    </row>
    <row r="2402" spans="2:9" ht="22.8">
      <c r="B2402" s="368" t="s">
        <v>260</v>
      </c>
      <c r="C2402" s="66"/>
      <c r="D2402" s="66"/>
      <c r="E2402" s="90" t="s">
        <v>583</v>
      </c>
      <c r="F2402" s="62" t="s">
        <v>17</v>
      </c>
      <c r="G2402" s="93">
        <v>18.5</v>
      </c>
      <c r="H2402" s="69">
        <f t="shared" ref="H2402:H2409" si="257">L2402*$K$5</f>
        <v>0</v>
      </c>
      <c r="I2402" s="312">
        <f>ROUND($G2402*H2402,2)</f>
        <v>0</v>
      </c>
    </row>
    <row r="2403" spans="2:9" ht="13.2">
      <c r="B2403" s="369"/>
      <c r="C2403" s="62"/>
      <c r="D2403" s="95"/>
      <c r="E2403" s="87" t="s">
        <v>39</v>
      </c>
      <c r="F2403" s="62" t="s">
        <v>153</v>
      </c>
      <c r="G2403" s="96"/>
      <c r="H2403"/>
      <c r="I2403" s="182" t="s">
        <v>13</v>
      </c>
    </row>
    <row r="2404" spans="2:9" ht="13.2">
      <c r="B2404" s="367" t="s">
        <v>261</v>
      </c>
      <c r="C2404" s="74" t="s">
        <v>181</v>
      </c>
      <c r="D2404" s="75"/>
      <c r="E2404" s="97" t="s">
        <v>139</v>
      </c>
      <c r="F2404" s="62" t="s">
        <v>13</v>
      </c>
      <c r="G2404" s="276" t="s">
        <v>13</v>
      </c>
      <c r="H2404" s="69" t="s">
        <v>13</v>
      </c>
      <c r="I2404" s="65" t="s">
        <v>13</v>
      </c>
    </row>
    <row r="2405" spans="2:9" ht="22.8">
      <c r="B2405" s="368" t="s">
        <v>262</v>
      </c>
      <c r="C2405" s="98"/>
      <c r="D2405" s="99"/>
      <c r="E2405" s="100" t="s">
        <v>140</v>
      </c>
      <c r="F2405" s="62" t="s">
        <v>17</v>
      </c>
      <c r="G2405" s="299">
        <v>24</v>
      </c>
      <c r="H2405" s="69">
        <f>L2405*$K$5</f>
        <v>0</v>
      </c>
      <c r="I2405" s="312">
        <f t="shared" ref="I2405:I2406" si="258">ROUND($G2405*H2405,2)</f>
        <v>0</v>
      </c>
    </row>
    <row r="2406" spans="2:9" ht="22.8">
      <c r="B2406" s="368" t="s">
        <v>515</v>
      </c>
      <c r="C2406" s="103"/>
      <c r="D2406" s="104"/>
      <c r="E2406" s="100" t="s">
        <v>141</v>
      </c>
      <c r="F2406" s="62" t="s">
        <v>17</v>
      </c>
      <c r="G2406" s="299">
        <v>2</v>
      </c>
      <c r="H2406" s="69">
        <f t="shared" si="257"/>
        <v>0</v>
      </c>
      <c r="I2406" s="312">
        <f t="shared" si="258"/>
        <v>0</v>
      </c>
    </row>
    <row r="2407" spans="2:9" ht="13.2">
      <c r="B2407" s="369"/>
      <c r="C2407" s="103"/>
      <c r="D2407" s="104"/>
      <c r="E2407" s="87" t="s">
        <v>43</v>
      </c>
      <c r="F2407" s="62" t="s">
        <v>153</v>
      </c>
      <c r="G2407" s="46"/>
      <c r="H2407"/>
      <c r="I2407" s="182" t="s">
        <v>13</v>
      </c>
    </row>
    <row r="2408" spans="2:9" ht="13.2">
      <c r="B2408" s="367" t="s">
        <v>263</v>
      </c>
      <c r="C2408" s="74" t="s">
        <v>593</v>
      </c>
      <c r="D2408" s="75"/>
      <c r="E2408" s="97" t="s">
        <v>626</v>
      </c>
      <c r="F2408" s="62" t="s">
        <v>13</v>
      </c>
      <c r="G2408" s="63" t="s">
        <v>13</v>
      </c>
      <c r="H2408" s="69" t="s">
        <v>13</v>
      </c>
      <c r="I2408" s="49" t="s">
        <v>13</v>
      </c>
    </row>
    <row r="2409" spans="2:9" ht="13.2">
      <c r="B2409" s="368" t="s">
        <v>264</v>
      </c>
      <c r="C2409" s="88"/>
      <c r="D2409" s="89"/>
      <c r="E2409" s="100" t="s">
        <v>691</v>
      </c>
      <c r="F2409" s="62" t="s">
        <v>4</v>
      </c>
      <c r="G2409" s="299">
        <v>38</v>
      </c>
      <c r="H2409" s="69">
        <f t="shared" si="257"/>
        <v>0</v>
      </c>
      <c r="I2409" s="312">
        <f>ROUND($G2409*H2409,2)</f>
        <v>0</v>
      </c>
    </row>
    <row r="2410" spans="2:9" ht="13.2">
      <c r="B2410" s="369"/>
      <c r="C2410" s="101"/>
      <c r="D2410" s="102"/>
      <c r="E2410" s="87" t="s">
        <v>629</v>
      </c>
      <c r="F2410" s="62" t="s">
        <v>153</v>
      </c>
      <c r="G2410" s="39"/>
      <c r="H2410" s="181"/>
      <c r="I2410" s="182" t="s">
        <v>13</v>
      </c>
    </row>
    <row r="2411" spans="2:9" ht="13.2">
      <c r="B2411" s="367" t="s">
        <v>272</v>
      </c>
      <c r="C2411" s="375" t="s">
        <v>200</v>
      </c>
      <c r="D2411" s="374"/>
      <c r="E2411" s="376" t="s">
        <v>44</v>
      </c>
      <c r="F2411" s="377"/>
      <c r="G2411" s="444"/>
      <c r="H2411" s="446"/>
      <c r="I2411" s="380"/>
    </row>
    <row r="2412" spans="2:9" ht="24">
      <c r="B2412" s="367"/>
      <c r="C2412" s="71"/>
      <c r="D2412" s="72"/>
      <c r="E2412" s="73" t="s">
        <v>241</v>
      </c>
      <c r="F2412" s="30"/>
      <c r="G2412" s="300"/>
      <c r="H2412" s="38"/>
      <c r="I2412" s="38"/>
    </row>
    <row r="2413" spans="2:9" ht="13.2">
      <c r="B2413" s="367" t="s">
        <v>273</v>
      </c>
      <c r="C2413" s="74" t="s">
        <v>167</v>
      </c>
      <c r="D2413" s="74"/>
      <c r="E2413" s="90" t="s">
        <v>132</v>
      </c>
      <c r="F2413" s="62" t="s">
        <v>13</v>
      </c>
      <c r="G2413" s="291" t="s">
        <v>13</v>
      </c>
      <c r="H2413" s="64" t="s">
        <v>13</v>
      </c>
      <c r="I2413" s="65" t="s">
        <v>13</v>
      </c>
    </row>
    <row r="2414" spans="2:9" ht="34.200000000000003">
      <c r="B2414" s="368" t="s">
        <v>330</v>
      </c>
      <c r="C2414" s="98"/>
      <c r="D2414" s="98"/>
      <c r="E2414" s="67" t="s">
        <v>692</v>
      </c>
      <c r="F2414" s="62" t="s">
        <v>23</v>
      </c>
      <c r="G2414" s="299">
        <v>5310</v>
      </c>
      <c r="H2414" s="69">
        <f>L2414*$K$5</f>
        <v>0</v>
      </c>
      <c r="I2414" s="312">
        <f>ROUND($G2414*H2414,2)</f>
        <v>0</v>
      </c>
    </row>
    <row r="2415" spans="2:9" ht="13.2">
      <c r="B2415" s="368" t="s">
        <v>693</v>
      </c>
      <c r="C2415" s="106"/>
      <c r="D2415" s="106"/>
      <c r="E2415" s="67" t="s">
        <v>681</v>
      </c>
      <c r="F2415" s="62" t="s">
        <v>23</v>
      </c>
      <c r="G2415" s="299">
        <v>568</v>
      </c>
      <c r="H2415" s="69">
        <f t="shared" ref="H2415:H2421" si="259">L2415*$K$5</f>
        <v>0</v>
      </c>
      <c r="I2415" s="312">
        <f>ROUND($G2415*H2415,2)</f>
        <v>0</v>
      </c>
    </row>
    <row r="2416" spans="2:9" ht="13.2">
      <c r="B2416" s="367" t="s">
        <v>343</v>
      </c>
      <c r="C2416" s="74" t="s">
        <v>354</v>
      </c>
      <c r="D2416" s="74"/>
      <c r="E2416" s="110" t="s">
        <v>356</v>
      </c>
      <c r="F2416" s="170" t="s">
        <v>13</v>
      </c>
      <c r="G2416" s="291" t="s">
        <v>13</v>
      </c>
      <c r="H2416" s="69" t="s">
        <v>13</v>
      </c>
      <c r="I2416" s="65" t="s">
        <v>13</v>
      </c>
    </row>
    <row r="2417" spans="2:9" ht="13.2">
      <c r="B2417" s="368" t="s">
        <v>274</v>
      </c>
      <c r="C2417" s="304"/>
      <c r="D2417" s="304"/>
      <c r="E2417" s="90" t="s">
        <v>668</v>
      </c>
      <c r="F2417" s="109" t="s">
        <v>344</v>
      </c>
      <c r="G2417" s="299">
        <v>5.31</v>
      </c>
      <c r="H2417" s="69">
        <f t="shared" si="259"/>
        <v>0</v>
      </c>
      <c r="I2417" s="312">
        <f>ROUND($G2417*H2417,2)</f>
        <v>0</v>
      </c>
    </row>
    <row r="2418" spans="2:9" ht="22.8">
      <c r="B2418" s="372" t="s">
        <v>346</v>
      </c>
      <c r="C2418" s="74" t="s">
        <v>355</v>
      </c>
      <c r="D2418" s="74"/>
      <c r="E2418" s="110" t="s">
        <v>357</v>
      </c>
      <c r="F2418" s="170" t="s">
        <v>13</v>
      </c>
      <c r="G2418" s="48" t="s">
        <v>13</v>
      </c>
      <c r="H2418" s="69" t="s">
        <v>13</v>
      </c>
      <c r="I2418" s="49" t="s">
        <v>13</v>
      </c>
    </row>
    <row r="2419" spans="2:9" ht="22.8">
      <c r="B2419" s="368" t="s">
        <v>347</v>
      </c>
      <c r="C2419" s="206"/>
      <c r="D2419" s="206"/>
      <c r="E2419" s="90" t="s">
        <v>154</v>
      </c>
      <c r="F2419" s="109" t="s">
        <v>15</v>
      </c>
      <c r="G2419" s="299">
        <v>115</v>
      </c>
      <c r="H2419" s="69">
        <f t="shared" si="259"/>
        <v>0</v>
      </c>
      <c r="I2419" s="312">
        <f>ROUND($G2419*H2419,2)</f>
        <v>0</v>
      </c>
    </row>
    <row r="2420" spans="2:9" ht="13.2">
      <c r="B2420" s="367" t="s">
        <v>349</v>
      </c>
      <c r="C2420" s="74" t="s">
        <v>427</v>
      </c>
      <c r="D2420" s="74"/>
      <c r="E2420" s="90" t="s">
        <v>350</v>
      </c>
      <c r="F2420" s="109" t="s">
        <v>13</v>
      </c>
      <c r="G2420" s="291" t="s">
        <v>13</v>
      </c>
      <c r="H2420" s="69" t="s">
        <v>13</v>
      </c>
      <c r="I2420" s="65" t="s">
        <v>13</v>
      </c>
    </row>
    <row r="2421" spans="2:9" ht="13.2">
      <c r="B2421" s="368" t="s">
        <v>351</v>
      </c>
      <c r="C2421" s="98"/>
      <c r="D2421" s="98"/>
      <c r="E2421" s="67" t="s">
        <v>671</v>
      </c>
      <c r="F2421" s="109" t="s">
        <v>344</v>
      </c>
      <c r="G2421" s="299">
        <v>5.31</v>
      </c>
      <c r="H2421" s="69">
        <f t="shared" si="259"/>
        <v>0</v>
      </c>
      <c r="I2421" s="312">
        <f>ROUND($G2421*H2421,2)</f>
        <v>0</v>
      </c>
    </row>
    <row r="2422" spans="2:9" ht="13.2">
      <c r="B2422" s="369"/>
      <c r="C2422" s="12"/>
      <c r="D2422" s="25"/>
      <c r="E2422" s="87" t="s">
        <v>46</v>
      </c>
      <c r="F2422" s="13" t="s">
        <v>153</v>
      </c>
      <c r="G2422" s="96"/>
      <c r="H2422" s="181"/>
      <c r="I2422" s="182" t="s">
        <v>13</v>
      </c>
    </row>
    <row r="2423" spans="2:9" ht="13.2">
      <c r="B2423" s="367" t="s">
        <v>275</v>
      </c>
      <c r="C2423" s="375" t="s">
        <v>201</v>
      </c>
      <c r="D2423" s="374"/>
      <c r="E2423" s="407" t="s">
        <v>380</v>
      </c>
      <c r="F2423" s="377"/>
      <c r="G2423" s="396"/>
      <c r="H2423" s="446"/>
      <c r="I2423" s="380"/>
    </row>
    <row r="2424" spans="2:9" ht="24">
      <c r="B2424" s="367"/>
      <c r="C2424" s="415"/>
      <c r="D2424" s="416"/>
      <c r="E2424" s="432" t="s">
        <v>241</v>
      </c>
      <c r="F2424" s="418"/>
      <c r="G2424" s="481"/>
      <c r="H2424" s="482"/>
      <c r="I2424" s="482"/>
    </row>
    <row r="2425" spans="2:9" ht="13.2">
      <c r="B2425" s="367" t="s">
        <v>276</v>
      </c>
      <c r="C2425" s="60" t="s">
        <v>182</v>
      </c>
      <c r="D2425" s="60"/>
      <c r="E2425" s="90" t="s">
        <v>49</v>
      </c>
      <c r="F2425" s="62" t="s">
        <v>13</v>
      </c>
      <c r="G2425" s="276" t="s">
        <v>13</v>
      </c>
      <c r="H2425" s="64" t="s">
        <v>13</v>
      </c>
      <c r="I2425" s="65" t="s">
        <v>13</v>
      </c>
    </row>
    <row r="2426" spans="2:9" ht="34.200000000000003">
      <c r="B2426" s="368" t="s">
        <v>277</v>
      </c>
      <c r="C2426" s="66"/>
      <c r="D2426" s="66"/>
      <c r="E2426" s="92" t="s">
        <v>602</v>
      </c>
      <c r="F2426" s="62" t="s">
        <v>15</v>
      </c>
      <c r="G2426" s="299">
        <v>24</v>
      </c>
      <c r="H2426" s="69">
        <f>L2426*$K$5</f>
        <v>0</v>
      </c>
      <c r="I2426" s="312">
        <f t="shared" ref="I2426:I2427" si="260">ROUND($G2426*H2426,2)</f>
        <v>0</v>
      </c>
    </row>
    <row r="2427" spans="2:9" ht="45.6">
      <c r="B2427" s="368" t="s">
        <v>278</v>
      </c>
      <c r="C2427" s="83"/>
      <c r="D2427" s="83"/>
      <c r="E2427" s="92" t="s">
        <v>149</v>
      </c>
      <c r="F2427" s="62" t="s">
        <v>15</v>
      </c>
      <c r="G2427" s="299">
        <v>45</v>
      </c>
      <c r="H2427" s="69">
        <f t="shared" ref="H2427:H2429" si="261">L2427*$K$5</f>
        <v>0</v>
      </c>
      <c r="I2427" s="312">
        <f t="shared" si="260"/>
        <v>0</v>
      </c>
    </row>
    <row r="2428" spans="2:9" ht="13.2">
      <c r="B2428" s="367" t="s">
        <v>279</v>
      </c>
      <c r="C2428" s="74" t="s">
        <v>185</v>
      </c>
      <c r="D2428" s="74"/>
      <c r="E2428" s="90" t="s">
        <v>151</v>
      </c>
      <c r="F2428" s="81" t="s">
        <v>13</v>
      </c>
      <c r="G2428" s="291" t="s">
        <v>13</v>
      </c>
      <c r="H2428" s="69" t="s">
        <v>13</v>
      </c>
      <c r="I2428" s="65" t="s">
        <v>13</v>
      </c>
    </row>
    <row r="2429" spans="2:9" ht="22.8">
      <c r="B2429" s="368" t="s">
        <v>280</v>
      </c>
      <c r="C2429" s="98"/>
      <c r="D2429" s="98"/>
      <c r="E2429" s="90" t="s">
        <v>152</v>
      </c>
      <c r="F2429" s="83" t="s">
        <v>15</v>
      </c>
      <c r="G2429" s="299">
        <v>270</v>
      </c>
      <c r="H2429" s="69">
        <f t="shared" si="261"/>
        <v>0</v>
      </c>
      <c r="I2429" s="312">
        <f>ROUND($G2429*H2429,2)</f>
        <v>0</v>
      </c>
    </row>
    <row r="2430" spans="2:9" ht="13.2">
      <c r="B2430" s="369"/>
      <c r="C2430" s="12"/>
      <c r="D2430" s="25"/>
      <c r="E2430" s="87" t="s">
        <v>58</v>
      </c>
      <c r="F2430" s="13" t="s">
        <v>153</v>
      </c>
      <c r="G2430" s="96"/>
      <c r="H2430" s="181"/>
      <c r="I2430" s="182" t="s">
        <v>13</v>
      </c>
    </row>
    <row r="2431" spans="2:9" ht="13.2">
      <c r="B2431" s="367" t="s">
        <v>288</v>
      </c>
      <c r="C2431" s="385" t="s">
        <v>186</v>
      </c>
      <c r="D2431" s="386"/>
      <c r="E2431" s="387" t="s">
        <v>81</v>
      </c>
      <c r="F2431" s="388"/>
      <c r="G2431" s="396"/>
      <c r="H2431" s="396"/>
      <c r="I2431" s="380"/>
    </row>
    <row r="2432" spans="2:9" ht="24">
      <c r="B2432" s="367"/>
      <c r="C2432" s="415"/>
      <c r="D2432" s="416"/>
      <c r="E2432" s="432" t="s">
        <v>241</v>
      </c>
      <c r="F2432" s="418"/>
      <c r="G2432" s="483"/>
      <c r="H2432" s="482"/>
      <c r="I2432" s="424"/>
    </row>
    <row r="2433" spans="2:9" ht="13.2">
      <c r="B2433" s="367" t="s">
        <v>289</v>
      </c>
      <c r="C2433" s="74" t="s">
        <v>187</v>
      </c>
      <c r="D2433" s="74"/>
      <c r="E2433" s="61" t="s">
        <v>694</v>
      </c>
      <c r="F2433" s="62" t="s">
        <v>13</v>
      </c>
      <c r="G2433" s="271" t="s">
        <v>13</v>
      </c>
      <c r="H2433" s="64" t="s">
        <v>13</v>
      </c>
      <c r="I2433" s="65" t="s">
        <v>13</v>
      </c>
    </row>
    <row r="2434" spans="2:9" ht="22.8">
      <c r="B2434" s="368" t="s">
        <v>290</v>
      </c>
      <c r="C2434" s="115"/>
      <c r="D2434" s="115"/>
      <c r="E2434" s="67" t="s">
        <v>388</v>
      </c>
      <c r="F2434" s="62" t="s">
        <v>4</v>
      </c>
      <c r="G2434" s="299">
        <v>2</v>
      </c>
      <c r="H2434" s="69">
        <f>L2434*$K$5</f>
        <v>0</v>
      </c>
      <c r="I2434" s="312">
        <f>ROUND($G2434*H2434,2)</f>
        <v>0</v>
      </c>
    </row>
    <row r="2435" spans="2:9" ht="13.2">
      <c r="B2435" s="369"/>
      <c r="C2435" s="73"/>
      <c r="D2435" s="118"/>
      <c r="E2435" s="112" t="s">
        <v>85</v>
      </c>
      <c r="F2435" s="13" t="s">
        <v>153</v>
      </c>
      <c r="G2435" s="119"/>
      <c r="H2435" s="181"/>
      <c r="I2435" s="182" t="s">
        <v>13</v>
      </c>
    </row>
    <row r="2436" spans="2:9" ht="13.2">
      <c r="B2436" s="367" t="s">
        <v>292</v>
      </c>
      <c r="C2436" s="375" t="s">
        <v>188</v>
      </c>
      <c r="D2436" s="374"/>
      <c r="E2436" s="376" t="s">
        <v>59</v>
      </c>
      <c r="F2436" s="377"/>
      <c r="G2436" s="396"/>
      <c r="H2436" s="446"/>
      <c r="I2436" s="380"/>
    </row>
    <row r="2437" spans="2:9" ht="24">
      <c r="B2437" s="367"/>
      <c r="C2437" s="71"/>
      <c r="D2437" s="72"/>
      <c r="E2437" s="73" t="s">
        <v>241</v>
      </c>
      <c r="F2437" s="30"/>
      <c r="G2437" s="47"/>
      <c r="H2437" s="38"/>
      <c r="I2437" s="38"/>
    </row>
    <row r="2438" spans="2:9" ht="13.2">
      <c r="B2438" s="367" t="s">
        <v>293</v>
      </c>
      <c r="C2438" s="120" t="s">
        <v>189</v>
      </c>
      <c r="D2438" s="121"/>
      <c r="E2438" s="122" t="s">
        <v>60</v>
      </c>
      <c r="F2438" s="62" t="s">
        <v>13</v>
      </c>
      <c r="G2438" s="276" t="s">
        <v>13</v>
      </c>
      <c r="H2438" s="64" t="s">
        <v>13</v>
      </c>
      <c r="I2438" s="65" t="s">
        <v>13</v>
      </c>
    </row>
    <row r="2439" spans="2:9" ht="13.2">
      <c r="B2439" s="368" t="s">
        <v>294</v>
      </c>
      <c r="C2439" s="123"/>
      <c r="D2439" s="124"/>
      <c r="E2439" s="80" t="s">
        <v>660</v>
      </c>
      <c r="F2439" s="81" t="s">
        <v>4</v>
      </c>
      <c r="G2439" s="299">
        <v>10</v>
      </c>
      <c r="H2439" s="69">
        <f>L2439*$K$5</f>
        <v>0</v>
      </c>
      <c r="I2439" s="312">
        <f>ROUND($G2439*H2439,2)</f>
        <v>0</v>
      </c>
    </row>
    <row r="2440" spans="2:9" ht="34.200000000000003">
      <c r="B2440" s="368" t="s">
        <v>295</v>
      </c>
      <c r="C2440" s="125"/>
      <c r="D2440" s="126"/>
      <c r="E2440" s="127" t="s">
        <v>144</v>
      </c>
      <c r="F2440" s="128" t="s">
        <v>4</v>
      </c>
      <c r="G2440" s="299">
        <v>4</v>
      </c>
      <c r="H2440" s="69">
        <f>L2440*$K$5</f>
        <v>0</v>
      </c>
      <c r="I2440" s="312">
        <f t="shared" ref="I2440" si="262">ROUND($G2440*H2440,2)</f>
        <v>0</v>
      </c>
    </row>
    <row r="2441" spans="2:9" ht="13.2">
      <c r="B2441" s="369"/>
      <c r="C2441" s="129"/>
      <c r="D2441" s="130"/>
      <c r="E2441" s="87" t="s">
        <v>61</v>
      </c>
      <c r="F2441" s="13" t="s">
        <v>153</v>
      </c>
      <c r="G2441" s="119"/>
      <c r="H2441" s="181"/>
      <c r="I2441" s="182" t="s">
        <v>13</v>
      </c>
    </row>
    <row r="2442" spans="2:9" ht="13.2">
      <c r="B2442" s="367" t="s">
        <v>297</v>
      </c>
      <c r="C2442" s="375" t="s">
        <v>190</v>
      </c>
      <c r="D2442" s="374"/>
      <c r="E2442" s="376" t="s">
        <v>62</v>
      </c>
      <c r="F2442" s="377"/>
      <c r="G2442" s="396"/>
      <c r="H2442" s="446"/>
      <c r="I2442" s="380"/>
    </row>
    <row r="2443" spans="2:9" ht="24">
      <c r="B2443" s="367"/>
      <c r="C2443" s="415"/>
      <c r="D2443" s="416"/>
      <c r="E2443" s="432" t="s">
        <v>241</v>
      </c>
      <c r="F2443" s="418"/>
      <c r="G2443" s="421"/>
      <c r="H2443" s="482"/>
      <c r="I2443" s="482"/>
    </row>
    <row r="2444" spans="2:9" ht="13.2">
      <c r="B2444" s="367" t="s">
        <v>298</v>
      </c>
      <c r="C2444" s="60" t="s">
        <v>191</v>
      </c>
      <c r="D2444" s="60"/>
      <c r="E2444" s="90" t="s">
        <v>244</v>
      </c>
      <c r="F2444" s="62" t="s">
        <v>13</v>
      </c>
      <c r="G2444" s="276" t="s">
        <v>13</v>
      </c>
      <c r="H2444" s="64" t="s">
        <v>13</v>
      </c>
      <c r="I2444" s="65" t="s">
        <v>13</v>
      </c>
    </row>
    <row r="2445" spans="2:9" ht="22.8">
      <c r="B2445" s="368" t="s">
        <v>299</v>
      </c>
      <c r="C2445" s="66"/>
      <c r="D2445" s="66"/>
      <c r="E2445" s="133" t="s">
        <v>246</v>
      </c>
      <c r="F2445" s="132" t="s">
        <v>23</v>
      </c>
      <c r="G2445" s="299">
        <v>1460</v>
      </c>
      <c r="H2445" s="69">
        <f>L2445*$K$5</f>
        <v>0</v>
      </c>
      <c r="I2445" s="312">
        <f>ROUND($G2445*H2445,2)</f>
        <v>0</v>
      </c>
    </row>
    <row r="2446" spans="2:9" ht="13.2">
      <c r="B2446" s="369"/>
      <c r="C2446" s="12"/>
      <c r="D2446" s="25"/>
      <c r="E2446" s="87" t="s">
        <v>63</v>
      </c>
      <c r="F2446" s="13"/>
      <c r="G2446" s="134"/>
      <c r="H2446" s="181"/>
      <c r="I2446" s="182" t="s">
        <v>13</v>
      </c>
    </row>
    <row r="2447" spans="2:9" ht="13.2">
      <c r="B2447" s="367" t="s">
        <v>301</v>
      </c>
      <c r="C2447" s="375" t="s">
        <v>192</v>
      </c>
      <c r="D2447" s="374"/>
      <c r="E2447" s="376" t="s">
        <v>64</v>
      </c>
      <c r="F2447" s="377"/>
      <c r="G2447" s="396"/>
      <c r="H2447" s="446"/>
      <c r="I2447" s="380"/>
    </row>
    <row r="2448" spans="2:9" ht="24">
      <c r="B2448" s="367"/>
      <c r="C2448" s="415"/>
      <c r="D2448" s="416"/>
      <c r="E2448" s="432" t="s">
        <v>241</v>
      </c>
      <c r="F2448" s="418"/>
      <c r="G2448" s="481"/>
      <c r="H2448" s="482"/>
      <c r="I2448" s="482"/>
    </row>
    <row r="2449" spans="2:12" ht="13.2">
      <c r="B2449" s="367" t="s">
        <v>302</v>
      </c>
      <c r="C2449" s="74" t="s">
        <v>169</v>
      </c>
      <c r="D2449" s="75"/>
      <c r="E2449" s="122" t="s">
        <v>69</v>
      </c>
      <c r="F2449" s="62" t="s">
        <v>13</v>
      </c>
      <c r="G2449" s="276" t="s">
        <v>13</v>
      </c>
      <c r="H2449" s="64" t="s">
        <v>13</v>
      </c>
      <c r="I2449" s="65" t="s">
        <v>13</v>
      </c>
    </row>
    <row r="2450" spans="2:12" ht="22.8">
      <c r="B2450" s="368" t="s">
        <v>303</v>
      </c>
      <c r="C2450" s="98"/>
      <c r="D2450" s="99"/>
      <c r="E2450" s="85" t="s">
        <v>661</v>
      </c>
      <c r="F2450" s="81" t="s">
        <v>16</v>
      </c>
      <c r="G2450" s="299">
        <v>250</v>
      </c>
      <c r="H2450" s="69">
        <f>L2450*$K$5</f>
        <v>0</v>
      </c>
      <c r="I2450" s="312">
        <f t="shared" ref="I2450:I2452" si="263">ROUND($G2450*H2450,2)</f>
        <v>0</v>
      </c>
    </row>
    <row r="2451" spans="2:12" ht="22.8">
      <c r="B2451" s="368" t="s">
        <v>632</v>
      </c>
      <c r="C2451" s="98"/>
      <c r="D2451" s="99"/>
      <c r="E2451" s="80" t="s">
        <v>70</v>
      </c>
      <c r="F2451" s="62" t="s">
        <v>4</v>
      </c>
      <c r="G2451" s="299">
        <v>32</v>
      </c>
      <c r="H2451" s="69">
        <f t="shared" ref="H2451:H2463" si="264">L2451*$K$5</f>
        <v>0</v>
      </c>
      <c r="I2451" s="312">
        <f t="shared" si="263"/>
        <v>0</v>
      </c>
    </row>
    <row r="2452" spans="2:12" ht="22.8">
      <c r="B2452" s="368" t="s">
        <v>662</v>
      </c>
      <c r="C2452" s="98"/>
      <c r="D2452" s="98"/>
      <c r="E2452" s="139" t="s">
        <v>142</v>
      </c>
      <c r="F2452" s="62" t="s">
        <v>4</v>
      </c>
      <c r="G2452" s="299">
        <v>36</v>
      </c>
      <c r="H2452" s="69">
        <f t="shared" si="264"/>
        <v>0</v>
      </c>
      <c r="I2452" s="312">
        <f t="shared" si="263"/>
        <v>0</v>
      </c>
    </row>
    <row r="2453" spans="2:12" ht="13.2">
      <c r="B2453" s="367" t="s">
        <v>304</v>
      </c>
      <c r="C2453" s="60" t="s">
        <v>195</v>
      </c>
      <c r="D2453" s="60"/>
      <c r="E2453" s="90" t="s">
        <v>71</v>
      </c>
      <c r="F2453" s="140" t="s">
        <v>13</v>
      </c>
      <c r="G2453" s="140" t="s">
        <v>13</v>
      </c>
      <c r="H2453" s="69" t="s">
        <v>13</v>
      </c>
      <c r="I2453" s="65" t="s">
        <v>13</v>
      </c>
    </row>
    <row r="2454" spans="2:12" ht="45.6">
      <c r="B2454" s="368" t="s">
        <v>305</v>
      </c>
      <c r="C2454" s="83"/>
      <c r="D2454" s="83"/>
      <c r="E2454" s="67" t="s">
        <v>125</v>
      </c>
      <c r="F2454" s="81" t="s">
        <v>16</v>
      </c>
      <c r="G2454" s="299">
        <v>190</v>
      </c>
      <c r="H2454" s="69">
        <f t="shared" si="264"/>
        <v>0</v>
      </c>
      <c r="I2454" s="312">
        <f>ROUND($G2454*H2454,2)</f>
        <v>0</v>
      </c>
    </row>
    <row r="2455" spans="2:12" ht="22.8">
      <c r="B2455" s="367" t="s">
        <v>307</v>
      </c>
      <c r="C2455" s="60" t="s">
        <v>196</v>
      </c>
      <c r="D2455" s="60"/>
      <c r="E2455" s="145" t="s">
        <v>131</v>
      </c>
      <c r="F2455" s="146" t="s">
        <v>13</v>
      </c>
      <c r="G2455" s="302" t="s">
        <v>13</v>
      </c>
      <c r="H2455" s="69" t="s">
        <v>13</v>
      </c>
      <c r="I2455" s="65" t="s">
        <v>13</v>
      </c>
    </row>
    <row r="2456" spans="2:12" ht="34.200000000000003">
      <c r="B2456" s="368" t="s">
        <v>308</v>
      </c>
      <c r="C2456" s="83"/>
      <c r="D2456" s="83"/>
      <c r="E2456" s="147" t="s">
        <v>574</v>
      </c>
      <c r="F2456" s="146" t="s">
        <v>4</v>
      </c>
      <c r="G2456" s="299">
        <v>150</v>
      </c>
      <c r="H2456" s="69">
        <f t="shared" si="264"/>
        <v>0</v>
      </c>
      <c r="I2456" s="312">
        <f>ROUND($G2456*H2456,2)</f>
        <v>0</v>
      </c>
    </row>
    <row r="2457" spans="2:12" ht="22.8">
      <c r="B2457" s="367" t="s">
        <v>557</v>
      </c>
      <c r="C2457" s="74" t="s">
        <v>197</v>
      </c>
      <c r="D2457" s="74"/>
      <c r="E2457" s="148" t="s">
        <v>73</v>
      </c>
      <c r="F2457" s="81" t="s">
        <v>13</v>
      </c>
      <c r="G2457" s="291" t="s">
        <v>13</v>
      </c>
      <c r="H2457" s="69" t="s">
        <v>13</v>
      </c>
      <c r="I2457" s="65" t="s">
        <v>13</v>
      </c>
    </row>
    <row r="2458" spans="2:12" ht="13.2">
      <c r="B2458" s="368" t="s">
        <v>558</v>
      </c>
      <c r="C2458" s="98"/>
      <c r="D2458" s="98"/>
      <c r="E2458" s="149" t="s">
        <v>74</v>
      </c>
      <c r="F2458" s="136" t="s">
        <v>3</v>
      </c>
      <c r="G2458" s="307">
        <v>1</v>
      </c>
      <c r="H2458" s="69">
        <f t="shared" si="264"/>
        <v>0</v>
      </c>
      <c r="I2458" s="312">
        <f t="shared" ref="I2458:I2459" si="265">ROUND($G2458*H2458,2)</f>
        <v>0</v>
      </c>
      <c r="L2458" s="8"/>
    </row>
    <row r="2459" spans="2:12" ht="22.8">
      <c r="B2459" s="368" t="s">
        <v>559</v>
      </c>
      <c r="C2459" s="101"/>
      <c r="D2459" s="101"/>
      <c r="E2459" s="150" t="s">
        <v>128</v>
      </c>
      <c r="F2459" s="151" t="s">
        <v>3</v>
      </c>
      <c r="G2459" s="307">
        <v>20</v>
      </c>
      <c r="H2459" s="69">
        <f t="shared" si="264"/>
        <v>0</v>
      </c>
      <c r="I2459" s="312">
        <f t="shared" si="265"/>
        <v>0</v>
      </c>
    </row>
    <row r="2460" spans="2:12" ht="13.2">
      <c r="B2460" s="367" t="s">
        <v>311</v>
      </c>
      <c r="C2460" s="60" t="s">
        <v>415</v>
      </c>
      <c r="D2460" s="60"/>
      <c r="E2460" s="177" t="s">
        <v>416</v>
      </c>
      <c r="F2460" s="153" t="s">
        <v>13</v>
      </c>
      <c r="G2460" s="315" t="s">
        <v>13</v>
      </c>
      <c r="H2460" s="69" t="s">
        <v>13</v>
      </c>
      <c r="I2460" s="65" t="s">
        <v>13</v>
      </c>
    </row>
    <row r="2461" spans="2:12" ht="13.2">
      <c r="B2461" s="368" t="s">
        <v>312</v>
      </c>
      <c r="C2461" s="66"/>
      <c r="D2461" s="66"/>
      <c r="E2461" s="178" t="s">
        <v>695</v>
      </c>
      <c r="F2461" s="146" t="s">
        <v>17</v>
      </c>
      <c r="G2461" s="299">
        <v>16</v>
      </c>
      <c r="H2461" s="69">
        <f t="shared" si="264"/>
        <v>0</v>
      </c>
      <c r="I2461" s="312">
        <f>ROUND($G2461*H2461,2)</f>
        <v>0</v>
      </c>
    </row>
    <row r="2462" spans="2:12" ht="13.2">
      <c r="B2462" s="370" t="s">
        <v>685</v>
      </c>
      <c r="C2462" s="66" t="s">
        <v>562</v>
      </c>
      <c r="D2462" s="157"/>
      <c r="E2462" s="156" t="s">
        <v>563</v>
      </c>
      <c r="F2462" s="128" t="s">
        <v>13</v>
      </c>
      <c r="G2462" s="308" t="s">
        <v>13</v>
      </c>
      <c r="H2462" s="69" t="s">
        <v>13</v>
      </c>
      <c r="I2462" s="65" t="s">
        <v>13</v>
      </c>
    </row>
    <row r="2463" spans="2:12" ht="13.2">
      <c r="B2463" s="370" t="s">
        <v>315</v>
      </c>
      <c r="C2463" s="83"/>
      <c r="D2463" s="159"/>
      <c r="E2463" s="158" t="s">
        <v>643</v>
      </c>
      <c r="F2463" s="81" t="s">
        <v>4</v>
      </c>
      <c r="G2463" s="299">
        <v>18</v>
      </c>
      <c r="H2463" s="69">
        <f t="shared" si="264"/>
        <v>0</v>
      </c>
      <c r="I2463" s="312">
        <f>ROUND($G2463*H2463,2)</f>
        <v>0</v>
      </c>
    </row>
    <row r="2464" spans="2:12" ht="13.2">
      <c r="B2464" s="365"/>
      <c r="C2464" s="12"/>
      <c r="D2464" s="25"/>
      <c r="E2464" s="14" t="s">
        <v>77</v>
      </c>
      <c r="F2464" s="13"/>
      <c r="G2464" s="45"/>
      <c r="H2464" s="41" t="s">
        <v>13</v>
      </c>
      <c r="I2464" s="34" t="s">
        <v>13</v>
      </c>
    </row>
    <row r="2465" spans="2:9" ht="13.8">
      <c r="B2465" s="366"/>
      <c r="C2465" s="562" t="s">
        <v>332</v>
      </c>
      <c r="D2465" s="562"/>
      <c r="E2465" s="562"/>
      <c r="F2465" s="7"/>
      <c r="G2465" s="45"/>
      <c r="H2465" s="33" t="s">
        <v>13</v>
      </c>
      <c r="I2465" s="10">
        <f>SUM(I2384:I2463)</f>
        <v>0</v>
      </c>
    </row>
    <row r="2470" spans="2:9" ht="20.399999999999999" customHeight="1">
      <c r="E2470" s="574" t="s">
        <v>807</v>
      </c>
      <c r="F2470" s="574"/>
      <c r="G2470" s="574"/>
      <c r="H2470" s="574"/>
      <c r="I2470" s="54">
        <f>I2465+I2381+I2307+I2231+I2165+I2061+I1951+I1849+I1761+I1653+I1542+I1424+I1295+I1226+I1124+I1035+I945+I826+I722+I586+I474+I340+I224+I113</f>
        <v>0</v>
      </c>
    </row>
    <row r="2471" spans="2:9" ht="11.4" customHeight="1">
      <c r="E2471" s="55"/>
      <c r="F2471" s="55"/>
      <c r="G2471" s="55"/>
      <c r="H2471" s="55"/>
      <c r="I2471" s="54"/>
    </row>
  </sheetData>
  <sheetProtection selectLockedCells="1" selectUnlockedCells="1"/>
  <mergeCells count="49">
    <mergeCell ref="C2231:E2231"/>
    <mergeCell ref="C2232:I2232"/>
    <mergeCell ref="E2470:H2470"/>
    <mergeCell ref="C2307:E2307"/>
    <mergeCell ref="C2465:E2465"/>
    <mergeCell ref="C2308:I2308"/>
    <mergeCell ref="C2381:E2381"/>
    <mergeCell ref="C2382:I2382"/>
    <mergeCell ref="C1952:I1952"/>
    <mergeCell ref="C2061:E2061"/>
    <mergeCell ref="C2062:I2062"/>
    <mergeCell ref="C2165:E2165"/>
    <mergeCell ref="C2166:I2166"/>
    <mergeCell ref="C1761:E1761"/>
    <mergeCell ref="C1762:I1762"/>
    <mergeCell ref="C1849:E1849"/>
    <mergeCell ref="C1850:I1850"/>
    <mergeCell ref="C1951:E1951"/>
    <mergeCell ref="C1425:I1425"/>
    <mergeCell ref="C1542:E1542"/>
    <mergeCell ref="C1543:I1543"/>
    <mergeCell ref="C1653:E1653"/>
    <mergeCell ref="C1654:I1654"/>
    <mergeCell ref="C1226:E1226"/>
    <mergeCell ref="C1227:I1227"/>
    <mergeCell ref="C1295:E1295"/>
    <mergeCell ref="C1296:I1296"/>
    <mergeCell ref="C1424:E1424"/>
    <mergeCell ref="C1036:I1036"/>
    <mergeCell ref="C1124:E1124"/>
    <mergeCell ref="C946:I946"/>
    <mergeCell ref="C1035:E1035"/>
    <mergeCell ref="C1125:I1125"/>
    <mergeCell ref="C722:E722"/>
    <mergeCell ref="C723:I723"/>
    <mergeCell ref="C826:E826"/>
    <mergeCell ref="C827:I827"/>
    <mergeCell ref="C945:E945"/>
    <mergeCell ref="C113:E113"/>
    <mergeCell ref="C1:I1"/>
    <mergeCell ref="C114:I114"/>
    <mergeCell ref="C586:E586"/>
    <mergeCell ref="C587:I587"/>
    <mergeCell ref="C341:I341"/>
    <mergeCell ref="C474:E474"/>
    <mergeCell ref="C475:I475"/>
    <mergeCell ref="C224:E224"/>
    <mergeCell ref="C225:I225"/>
    <mergeCell ref="C340:E340"/>
  </mergeCells>
  <conditionalFormatting sqref="H5 H8:H13 H17:H28 H30:H32 H36:H46 H50:H62 H65:H68 H71:H74 H78:H81 H84:H111">
    <cfRule type="cellIs" dxfId="121" priority="771" stopIfTrue="1" operator="equal">
      <formula>0</formula>
    </cfRule>
  </conditionalFormatting>
  <conditionalFormatting sqref="H118">
    <cfRule type="cellIs" dxfId="120" priority="738" stopIfTrue="1" operator="equal">
      <formula>0</formula>
    </cfRule>
  </conditionalFormatting>
  <conditionalFormatting sqref="H123:H125">
    <cfRule type="cellIs" dxfId="119" priority="737" stopIfTrue="1" operator="equal">
      <formula>0</formula>
    </cfRule>
  </conditionalFormatting>
  <conditionalFormatting sqref="H130">
    <cfRule type="cellIs" dxfId="118" priority="32" stopIfTrue="1" operator="equal">
      <formula>0</formula>
    </cfRule>
  </conditionalFormatting>
  <conditionalFormatting sqref="H132:H133">
    <cfRule type="cellIs" dxfId="117" priority="735" stopIfTrue="1" operator="equal">
      <formula>0</formula>
    </cfRule>
  </conditionalFormatting>
  <conditionalFormatting sqref="H135">
    <cfRule type="cellIs" dxfId="116" priority="31" stopIfTrue="1" operator="equal">
      <formula>0</formula>
    </cfRule>
  </conditionalFormatting>
  <conditionalFormatting sqref="H138:H139">
    <cfRule type="cellIs" dxfId="115" priority="29" stopIfTrue="1" operator="equal">
      <formula>0</formula>
    </cfRule>
  </conditionalFormatting>
  <conditionalFormatting sqref="H141:H146">
    <cfRule type="cellIs" dxfId="114" priority="28" stopIfTrue="1" operator="equal">
      <formula>0</formula>
    </cfRule>
  </conditionalFormatting>
  <conditionalFormatting sqref="H149:H160 H163:H169 H171 H174:H176 H180:H184 H188:H191 H194:H202">
    <cfRule type="cellIs" dxfId="113" priority="733" stopIfTrue="1" operator="equal">
      <formula>0</formula>
    </cfRule>
  </conditionalFormatting>
  <conditionalFormatting sqref="H204:H222">
    <cfRule type="cellIs" dxfId="112" priority="27" stopIfTrue="1" operator="equal">
      <formula>0</formula>
    </cfRule>
  </conditionalFormatting>
  <conditionalFormatting sqref="H227">
    <cfRule type="cellIs" dxfId="111" priority="709" stopIfTrue="1" operator="equal">
      <formula>0</formula>
    </cfRule>
  </conditionalFormatting>
  <conditionalFormatting sqref="H232:H235">
    <cfRule type="cellIs" dxfId="110" priority="26" stopIfTrue="1" operator="equal">
      <formula>0</formula>
    </cfRule>
  </conditionalFormatting>
  <conditionalFormatting sqref="H240:H250">
    <cfRule type="cellIs" dxfId="109" priority="20" stopIfTrue="1" operator="equal">
      <formula>0</formula>
    </cfRule>
  </conditionalFormatting>
  <conditionalFormatting sqref="H253:H254">
    <cfRule type="cellIs" dxfId="108" priority="707" stopIfTrue="1" operator="equal">
      <formula>0</formula>
    </cfRule>
  </conditionalFormatting>
  <conditionalFormatting sqref="H259:H264">
    <cfRule type="cellIs" dxfId="107" priority="14" stopIfTrue="1" operator="equal">
      <formula>0</formula>
    </cfRule>
  </conditionalFormatting>
  <conditionalFormatting sqref="H266">
    <cfRule type="cellIs" dxfId="106" priority="699" stopIfTrue="1" operator="equal">
      <formula>0</formula>
    </cfRule>
  </conditionalFormatting>
  <conditionalFormatting sqref="H268">
    <cfRule type="cellIs" dxfId="105" priority="698" stopIfTrue="1" operator="equal">
      <formula>0</formula>
    </cfRule>
  </conditionalFormatting>
  <conditionalFormatting sqref="H270 H275:H276 H278:H279 H281 H283 H285 H290:H291 H296:H298 H303:H304 H309 H311:H312 H314:H316 H318:H319 H321 H323:H325 H327:H328 H330 H332:H333 H335:H336 H338">
    <cfRule type="cellIs" dxfId="104" priority="13" stopIfTrue="1" operator="equal">
      <formula>0</formula>
    </cfRule>
  </conditionalFormatting>
  <conditionalFormatting sqref="H347:H349 H353:H359 H363:H374 H376:H378 H382:H385 H389:H400 H405:H406 H410:H414 H418:H422 H426:H428 H432:H435 H437:H459 H463:H472">
    <cfRule type="cellIs" dxfId="103" priority="12" stopIfTrue="1" operator="equal">
      <formula>0</formula>
    </cfRule>
  </conditionalFormatting>
  <conditionalFormatting sqref="H479 H482:H487 H491:H502 H504:H506 H510:H520 H524:H535 H539:H541 H545:H548 H552:H554 H558:H561 H563:H584">
    <cfRule type="cellIs" dxfId="102" priority="11" stopIfTrue="1" operator="equal">
      <formula>0</formula>
    </cfRule>
  </conditionalFormatting>
  <conditionalFormatting sqref="H594:H596 H600:H606 H610:H621 H623:H625 H629:H632 H636:H647 H651:H653 H657:H661 H665:H669 H673:H675 H679:H707 H711:H720">
    <cfRule type="cellIs" dxfId="101" priority="10" stopIfTrue="1" operator="equal">
      <formula>0</formula>
    </cfRule>
  </conditionalFormatting>
  <conditionalFormatting sqref="H729 H734:H737 H742 H744 H746 H748 H750 H752 H755:H756 H761 H763 H768:H769 H771:H778 H783:H784 H789:H791 H796:H797 H802:H824">
    <cfRule type="cellIs" dxfId="100" priority="8" stopIfTrue="1" operator="equal">
      <formula>0</formula>
    </cfRule>
  </conditionalFormatting>
  <conditionalFormatting sqref="H832 H835:H843 H847:H856 H858:H860 H862:H863 H866:H876 H880:H886 H890:H894 H898:H903 H906:H909 H913:H944">
    <cfRule type="cellIs" dxfId="99" priority="7" stopIfTrue="1" operator="equal">
      <formula>0</formula>
    </cfRule>
  </conditionalFormatting>
  <conditionalFormatting sqref="H953:H955 H959:H966 H968:H970 H976 H978 H980 H985 H987:H989 H995:H997 H1002 H1007:H1008 H1013 H1015 H1017 H1019:H1020 H1022:H1023 H1025:H1026 H1028 H1030:H1031 H1033">
    <cfRule type="cellIs" dxfId="98" priority="6" stopIfTrue="1" operator="equal">
      <formula>0</formula>
    </cfRule>
  </conditionalFormatting>
  <conditionalFormatting sqref="H1040">
    <cfRule type="cellIs" dxfId="97" priority="5" stopIfTrue="1" operator="equal">
      <formula>0</formula>
    </cfRule>
  </conditionalFormatting>
  <conditionalFormatting sqref="H1046:H1049 H1053:H1054 H1056 H1058 H1060 H1062 H1065 H1070 H1075:H1077 H1082 H1084:H1085 H1090 H1095 H1100:H1102 H1104 H1106 H1108:H1109 H1111:H1112 H1114 H1116:H1117 H1119:H1120 H1122">
    <cfRule type="cellIs" dxfId="96" priority="4" stopIfTrue="1" operator="equal">
      <formula>0</formula>
    </cfRule>
  </conditionalFormatting>
  <conditionalFormatting sqref="H1129 H1132:H1137 H1141:H1152 H1154:H1156 H1160:H1163 H1168:H1169 H1171 H1173 H1175 H1177 H1182:H1183 H1188:H1190 H1195:H1196 H1201 H1203:H1204 H1206:H1208 H1210:H1211 H1213 H1215:H1217 H1219:H1220 H1222 H1224">
    <cfRule type="cellIs" dxfId="95" priority="3" stopIfTrue="1" operator="equal">
      <formula>0</formula>
    </cfRule>
  </conditionalFormatting>
  <conditionalFormatting sqref="H1234:H1235 H1240 H1242 H1245 H1250 H1252 H1257 H1262 H1267:H1268 H1270 H1272 H1274 H1276:H1277 H1279:H1280 H1285 H1287 H1289 H1291 H1293">
    <cfRule type="cellIs" dxfId="94" priority="2" stopIfTrue="1" operator="equal">
      <formula>0</formula>
    </cfRule>
  </conditionalFormatting>
  <conditionalFormatting sqref="H1300 H1305:H1310 H1315:H1325 H1328:H1329 H1331:H1334 H1339:H1343 H1348:H1349 H1351 H1353 H1355 H1357 H1362 H1364:H1366 H1372:H1374 H1379 H1381:H1383 H1387:H1389 H1394 H1396 H1398:H1401 H1403:H1404 H1406 H1408:H1409 H1411 H1413:H1414 H1416 H1418:H1420 H1422">
    <cfRule type="cellIs" dxfId="93" priority="1" stopIfTrue="1" operator="equal">
      <formula>0</formula>
    </cfRule>
  </conditionalFormatting>
  <conditionalFormatting sqref="H1429 H1433:H1437 H1441:H1448 H1450:H1452 H1456:H1460 H1464:H1472 H1476:H1480 H1484:H1488 H1492:H1496 H1499:H1501 H1505:H1529">
    <cfRule type="cellIs" dxfId="92" priority="280" stopIfTrue="1" operator="equal">
      <formula>0</formula>
    </cfRule>
  </conditionalFormatting>
  <conditionalFormatting sqref="H1534:H1540">
    <cfRule type="cellIs" dxfId="91" priority="269" stopIfTrue="1" operator="equal">
      <formula>0</formula>
    </cfRule>
  </conditionalFormatting>
  <conditionalFormatting sqref="H1547">
    <cfRule type="cellIs" dxfId="90" priority="265" stopIfTrue="1" operator="equal">
      <formula>0</formula>
    </cfRule>
  </conditionalFormatting>
  <conditionalFormatting sqref="H1553:H1556">
    <cfRule type="cellIs" dxfId="89" priority="264" stopIfTrue="1" operator="equal">
      <formula>0</formula>
    </cfRule>
  </conditionalFormatting>
  <conditionalFormatting sqref="H1561:H1568 H1570:H1572">
    <cfRule type="cellIs" dxfId="88" priority="263" stopIfTrue="1" operator="equal">
      <formula>0</formula>
    </cfRule>
  </conditionalFormatting>
  <conditionalFormatting sqref="H1576:H1580">
    <cfRule type="cellIs" dxfId="87" priority="257" stopIfTrue="1" operator="equal">
      <formula>0</formula>
    </cfRule>
  </conditionalFormatting>
  <conditionalFormatting sqref="H1585:H1594">
    <cfRule type="cellIs" dxfId="86" priority="254" stopIfTrue="1" operator="equal">
      <formula>0</formula>
    </cfRule>
  </conditionalFormatting>
  <conditionalFormatting sqref="H1599:H1603">
    <cfRule type="cellIs" dxfId="85" priority="249" stopIfTrue="1" operator="equal">
      <formula>0</formula>
    </cfRule>
  </conditionalFormatting>
  <conditionalFormatting sqref="H1609:H1611">
    <cfRule type="cellIs" dxfId="84" priority="247" stopIfTrue="1" operator="equal">
      <formula>0</formula>
    </cfRule>
  </conditionalFormatting>
  <conditionalFormatting sqref="H1616:H1617">
    <cfRule type="cellIs" dxfId="83" priority="246" stopIfTrue="1" operator="equal">
      <formula>0</formula>
    </cfRule>
  </conditionalFormatting>
  <conditionalFormatting sqref="H1622:H1623">
    <cfRule type="cellIs" dxfId="82" priority="245" stopIfTrue="1" operator="equal">
      <formula>0</formula>
    </cfRule>
  </conditionalFormatting>
  <conditionalFormatting sqref="H1628:H1651">
    <cfRule type="cellIs" dxfId="81" priority="244" stopIfTrue="1" operator="equal">
      <formula>0</formula>
    </cfRule>
  </conditionalFormatting>
  <conditionalFormatting sqref="H1658 H1685:H1687">
    <cfRule type="cellIs" dxfId="80" priority="235" stopIfTrue="1" operator="equal">
      <formula>0</formula>
    </cfRule>
  </conditionalFormatting>
  <conditionalFormatting sqref="H1663:H1666">
    <cfRule type="cellIs" dxfId="79" priority="234" stopIfTrue="1" operator="equal">
      <formula>0</formula>
    </cfRule>
  </conditionalFormatting>
  <conditionalFormatting sqref="H1671:H1678 H1680:H1682">
    <cfRule type="cellIs" dxfId="78" priority="233" stopIfTrue="1" operator="equal">
      <formula>0</formula>
    </cfRule>
  </conditionalFormatting>
  <conditionalFormatting sqref="H1691:H1700">
    <cfRule type="cellIs" dxfId="77" priority="227" stopIfTrue="1" operator="equal">
      <formula>0</formula>
    </cfRule>
  </conditionalFormatting>
  <conditionalFormatting sqref="H1705:H1709">
    <cfRule type="cellIs" dxfId="76" priority="222" stopIfTrue="1" operator="equal">
      <formula>0</formula>
    </cfRule>
  </conditionalFormatting>
  <conditionalFormatting sqref="H1715:H1717">
    <cfRule type="cellIs" dxfId="75" priority="220" stopIfTrue="1" operator="equal">
      <formula>0</formula>
    </cfRule>
  </conditionalFormatting>
  <conditionalFormatting sqref="H1722:H1723">
    <cfRule type="cellIs" dxfId="74" priority="219" stopIfTrue="1" operator="equal">
      <formula>0</formula>
    </cfRule>
  </conditionalFormatting>
  <conditionalFormatting sqref="H1728:H1729">
    <cfRule type="cellIs" dxfId="73" priority="218" stopIfTrue="1" operator="equal">
      <formula>0</formula>
    </cfRule>
  </conditionalFormatting>
  <conditionalFormatting sqref="H1734:H1759">
    <cfRule type="cellIs" dxfId="72" priority="217" stopIfTrue="1" operator="equal">
      <formula>0</formula>
    </cfRule>
  </conditionalFormatting>
  <conditionalFormatting sqref="H1772:H1775">
    <cfRule type="cellIs" dxfId="71" priority="207" stopIfTrue="1" operator="equal">
      <formula>0</formula>
    </cfRule>
  </conditionalFormatting>
  <conditionalFormatting sqref="H1780:H1786 H1788:H1790 H1792:H1794">
    <cfRule type="cellIs" dxfId="70" priority="206" stopIfTrue="1" operator="equal">
      <formula>0</formula>
    </cfRule>
  </conditionalFormatting>
  <conditionalFormatting sqref="H1799:H1801">
    <cfRule type="cellIs" dxfId="69" priority="200" stopIfTrue="1" operator="equal">
      <formula>0</formula>
    </cfRule>
  </conditionalFormatting>
  <conditionalFormatting sqref="H1806:H1811">
    <cfRule type="cellIs" dxfId="68" priority="198" stopIfTrue="1" operator="equal">
      <formula>0</formula>
    </cfRule>
  </conditionalFormatting>
  <conditionalFormatting sqref="H1816:H1817">
    <cfRule type="cellIs" dxfId="67" priority="195" stopIfTrue="1" operator="equal">
      <formula>0</formula>
    </cfRule>
  </conditionalFormatting>
  <conditionalFormatting sqref="H1822">
    <cfRule type="cellIs" dxfId="66" priority="194" stopIfTrue="1" operator="equal">
      <formula>0</formula>
    </cfRule>
  </conditionalFormatting>
  <conditionalFormatting sqref="H1827:H1838">
    <cfRule type="cellIs" dxfId="65" priority="193" stopIfTrue="1" operator="equal">
      <formula>0</formula>
    </cfRule>
  </conditionalFormatting>
  <conditionalFormatting sqref="H1843:H1847">
    <cfRule type="cellIs" dxfId="64" priority="188" stopIfTrue="1" operator="equal">
      <formula>0</formula>
    </cfRule>
  </conditionalFormatting>
  <conditionalFormatting sqref="H1854 H1878:H1882">
    <cfRule type="cellIs" dxfId="63" priority="185" stopIfTrue="1" operator="equal">
      <formula>0</formula>
    </cfRule>
  </conditionalFormatting>
  <conditionalFormatting sqref="H1859:H1861">
    <cfRule type="cellIs" dxfId="62" priority="184" stopIfTrue="1" operator="equal">
      <formula>0</formula>
    </cfRule>
  </conditionalFormatting>
  <conditionalFormatting sqref="H1866:H1871 H1873:H1875">
    <cfRule type="cellIs" dxfId="61" priority="183" stopIfTrue="1" operator="equal">
      <formula>0</formula>
    </cfRule>
  </conditionalFormatting>
  <conditionalFormatting sqref="H1887:H1894">
    <cfRule type="cellIs" dxfId="60" priority="178" stopIfTrue="1" operator="equal">
      <formula>0</formula>
    </cfRule>
  </conditionalFormatting>
  <conditionalFormatting sqref="H1899:H1901">
    <cfRule type="cellIs" dxfId="59" priority="174" stopIfTrue="1" operator="equal">
      <formula>0</formula>
    </cfRule>
  </conditionalFormatting>
  <conditionalFormatting sqref="H1907:H1909">
    <cfRule type="cellIs" dxfId="58" priority="172" stopIfTrue="1" operator="equal">
      <formula>0</formula>
    </cfRule>
  </conditionalFormatting>
  <conditionalFormatting sqref="H1914:H1916">
    <cfRule type="cellIs" dxfId="57" priority="171" stopIfTrue="1" operator="equal">
      <formula>0</formula>
    </cfRule>
  </conditionalFormatting>
  <conditionalFormatting sqref="H1920:H1921">
    <cfRule type="cellIs" dxfId="56" priority="169" stopIfTrue="1" operator="equal">
      <formula>0</formula>
    </cfRule>
  </conditionalFormatting>
  <conditionalFormatting sqref="H1926:H1949">
    <cfRule type="cellIs" dxfId="55" priority="168" stopIfTrue="1" operator="equal">
      <formula>0</formula>
    </cfRule>
  </conditionalFormatting>
  <conditionalFormatting sqref="H1958">
    <cfRule type="cellIs" dxfId="54" priority="158" stopIfTrue="1" operator="equal">
      <formula>0</formula>
    </cfRule>
  </conditionalFormatting>
  <conditionalFormatting sqref="H1963:H1965">
    <cfRule type="cellIs" dxfId="53" priority="157" stopIfTrue="1" operator="equal">
      <formula>0</formula>
    </cfRule>
  </conditionalFormatting>
  <conditionalFormatting sqref="H1970:H1976 H1978:H1980">
    <cfRule type="cellIs" dxfId="52" priority="156" stopIfTrue="1" operator="equal">
      <formula>0</formula>
    </cfRule>
  </conditionalFormatting>
  <conditionalFormatting sqref="H1985:H1987">
    <cfRule type="cellIs" dxfId="51" priority="152" stopIfTrue="1" operator="equal">
      <formula>0</formula>
    </cfRule>
  </conditionalFormatting>
  <conditionalFormatting sqref="H1992:H1999">
    <cfRule type="cellIs" dxfId="50" priority="151" stopIfTrue="1" operator="equal">
      <formula>0</formula>
    </cfRule>
  </conditionalFormatting>
  <conditionalFormatting sqref="H2004:H2008">
    <cfRule type="cellIs" dxfId="49" priority="147" stopIfTrue="1" operator="equal">
      <formula>0</formula>
    </cfRule>
  </conditionalFormatting>
  <conditionalFormatting sqref="H2014:H2016">
    <cfRule type="cellIs" dxfId="48" priority="145" stopIfTrue="1" operator="equal">
      <formula>0</formula>
    </cfRule>
  </conditionalFormatting>
  <conditionalFormatting sqref="H2021:H2023">
    <cfRule type="cellIs" dxfId="47" priority="144" stopIfTrue="1" operator="equal">
      <formula>0</formula>
    </cfRule>
  </conditionalFormatting>
  <conditionalFormatting sqref="H2028:H2029">
    <cfRule type="cellIs" dxfId="46" priority="142" stopIfTrue="1" operator="equal">
      <formula>0</formula>
    </cfRule>
  </conditionalFormatting>
  <conditionalFormatting sqref="H2034:H2059">
    <cfRule type="cellIs" dxfId="45" priority="141" stopIfTrue="1" operator="equal">
      <formula>0</formula>
    </cfRule>
  </conditionalFormatting>
  <conditionalFormatting sqref="H2066 H2090:H2093">
    <cfRule type="cellIs" dxfId="44" priority="131" stopIfTrue="1" operator="equal">
      <formula>0</formula>
    </cfRule>
  </conditionalFormatting>
  <conditionalFormatting sqref="H2071:H2072">
    <cfRule type="cellIs" dxfId="43" priority="130" stopIfTrue="1" operator="equal">
      <formula>0</formula>
    </cfRule>
  </conditionalFormatting>
  <conditionalFormatting sqref="H2077:H2082 H2084:H2086">
    <cfRule type="cellIs" dxfId="42" priority="129" stopIfTrue="1" operator="equal">
      <formula>0</formula>
    </cfRule>
  </conditionalFormatting>
  <conditionalFormatting sqref="H2097:H2103">
    <cfRule type="cellIs" dxfId="41" priority="125" stopIfTrue="1" operator="equal">
      <formula>0</formula>
    </cfRule>
  </conditionalFormatting>
  <conditionalFormatting sqref="H2108:H2113">
    <cfRule type="cellIs" dxfId="40" priority="121" stopIfTrue="1" operator="equal">
      <formula>0</formula>
    </cfRule>
  </conditionalFormatting>
  <conditionalFormatting sqref="H2119:H2121">
    <cfRule type="cellIs" dxfId="39" priority="119" stopIfTrue="1" operator="equal">
      <formula>0</formula>
    </cfRule>
  </conditionalFormatting>
  <conditionalFormatting sqref="H2126:H2128">
    <cfRule type="cellIs" dxfId="38" priority="118" stopIfTrue="1" operator="equal">
      <formula>0</formula>
    </cfRule>
  </conditionalFormatting>
  <conditionalFormatting sqref="H2132:H2133">
    <cfRule type="cellIs" dxfId="37" priority="116" stopIfTrue="1" operator="equal">
      <formula>0</formula>
    </cfRule>
  </conditionalFormatting>
  <conditionalFormatting sqref="H2138:H2163">
    <cfRule type="cellIs" dxfId="36" priority="115" stopIfTrue="1" operator="equal">
      <formula>0</formula>
    </cfRule>
  </conditionalFormatting>
  <conditionalFormatting sqref="H2171">
    <cfRule type="cellIs" dxfId="35" priority="105" stopIfTrue="1" operator="equal">
      <formula>0</formula>
    </cfRule>
  </conditionalFormatting>
  <conditionalFormatting sqref="H2177:H2178">
    <cfRule type="cellIs" dxfId="34" priority="104" stopIfTrue="1" operator="equal">
      <formula>0</formula>
    </cfRule>
  </conditionalFormatting>
  <conditionalFormatting sqref="H2183:H2185 H2187:H2189">
    <cfRule type="cellIs" dxfId="33" priority="103" stopIfTrue="1" operator="equal">
      <formula>0</formula>
    </cfRule>
  </conditionalFormatting>
  <conditionalFormatting sqref="H2194">
    <cfRule type="cellIs" dxfId="32" priority="100" stopIfTrue="1" operator="equal">
      <formula>0</formula>
    </cfRule>
  </conditionalFormatting>
  <conditionalFormatting sqref="H2199:H2202">
    <cfRule type="cellIs" dxfId="31" priority="99" stopIfTrue="1" operator="equal">
      <formula>0</formula>
    </cfRule>
  </conditionalFormatting>
  <conditionalFormatting sqref="H2207:H2208">
    <cfRule type="cellIs" dxfId="30" priority="97" stopIfTrue="1" operator="equal">
      <formula>0</formula>
    </cfRule>
  </conditionalFormatting>
  <conditionalFormatting sqref="H2213">
    <cfRule type="cellIs" dxfId="29" priority="96" stopIfTrue="1" operator="equal">
      <formula>0</formula>
    </cfRule>
  </conditionalFormatting>
  <conditionalFormatting sqref="H2218:H2229">
    <cfRule type="cellIs" dxfId="28" priority="95" stopIfTrue="1" operator="equal">
      <formula>0</formula>
    </cfRule>
  </conditionalFormatting>
  <conditionalFormatting sqref="H2240:H2241">
    <cfRule type="cellIs" dxfId="27" priority="91" stopIfTrue="1" operator="equal">
      <formula>0</formula>
    </cfRule>
  </conditionalFormatting>
  <conditionalFormatting sqref="H2246:H2249 H2251:H2252">
    <cfRule type="cellIs" dxfId="26" priority="90" stopIfTrue="1" operator="equal">
      <formula>0</formula>
    </cfRule>
  </conditionalFormatting>
  <conditionalFormatting sqref="H2257:H2264">
    <cfRule type="cellIs" dxfId="25" priority="87" stopIfTrue="1" operator="equal">
      <formula>0</formula>
    </cfRule>
  </conditionalFormatting>
  <conditionalFormatting sqref="H2269:H2278">
    <cfRule type="cellIs" dxfId="24" priority="83" stopIfTrue="1" operator="equal">
      <formula>0</formula>
    </cfRule>
  </conditionalFormatting>
  <conditionalFormatting sqref="H2283:H2285">
    <cfRule type="cellIs" dxfId="23" priority="78" stopIfTrue="1" operator="equal">
      <formula>0</formula>
    </cfRule>
  </conditionalFormatting>
  <conditionalFormatting sqref="H2289:H2296">
    <cfRule type="cellIs" dxfId="22" priority="77" stopIfTrue="1" operator="equal">
      <formula>0</formula>
    </cfRule>
  </conditionalFormatting>
  <conditionalFormatting sqref="H2301:H2305">
    <cfRule type="cellIs" dxfId="21" priority="73" stopIfTrue="1" operator="equal">
      <formula>0</formula>
    </cfRule>
  </conditionalFormatting>
  <conditionalFormatting sqref="H2312 H2333:H2336">
    <cfRule type="cellIs" dxfId="20" priority="70" stopIfTrue="1" operator="equal">
      <formula>0</formula>
    </cfRule>
  </conditionalFormatting>
  <conditionalFormatting sqref="H2318:H2319">
    <cfRule type="cellIs" dxfId="19" priority="69" stopIfTrue="1" operator="equal">
      <formula>0</formula>
    </cfRule>
  </conditionalFormatting>
  <conditionalFormatting sqref="H2324:H2325">
    <cfRule type="cellIs" dxfId="18" priority="68" stopIfTrue="1" operator="equal">
      <formula>0</formula>
    </cfRule>
  </conditionalFormatting>
  <conditionalFormatting sqref="H2328">
    <cfRule type="cellIs" dxfId="17" priority="67" stopIfTrue="1" operator="equal">
      <formula>0</formula>
    </cfRule>
  </conditionalFormatting>
  <conditionalFormatting sqref="H2342:H2344">
    <cfRule type="cellIs" dxfId="16" priority="65" stopIfTrue="1" operator="equal">
      <formula>0</formula>
    </cfRule>
  </conditionalFormatting>
  <conditionalFormatting sqref="H2349">
    <cfRule type="cellIs" dxfId="15" priority="63" stopIfTrue="1" operator="equal">
      <formula>0</formula>
    </cfRule>
  </conditionalFormatting>
  <conditionalFormatting sqref="H2354:H2355">
    <cfRule type="cellIs" dxfId="14" priority="62" stopIfTrue="1" operator="equal">
      <formula>0</formula>
    </cfRule>
  </conditionalFormatting>
  <conditionalFormatting sqref="H2360">
    <cfRule type="cellIs" dxfId="13" priority="61" stopIfTrue="1" operator="equal">
      <formula>0</formula>
    </cfRule>
  </conditionalFormatting>
  <conditionalFormatting sqref="H2365:H2379">
    <cfRule type="cellIs" dxfId="12" priority="60" stopIfTrue="1" operator="equal">
      <formula>0</formula>
    </cfRule>
  </conditionalFormatting>
  <conditionalFormatting sqref="H2386:H2388">
    <cfRule type="cellIs" dxfId="11" priority="54" stopIfTrue="1" operator="equal">
      <formula>0</formula>
    </cfRule>
  </conditionalFormatting>
  <conditionalFormatting sqref="H2394:H2395">
    <cfRule type="cellIs" dxfId="10" priority="52" stopIfTrue="1" operator="equal">
      <formula>0</formula>
    </cfRule>
  </conditionalFormatting>
  <conditionalFormatting sqref="H2400:H2402 H2404:H2406 H2408:H2409">
    <cfRule type="cellIs" dxfId="9" priority="51" stopIfTrue="1" operator="equal">
      <formula>0</formula>
    </cfRule>
  </conditionalFormatting>
  <conditionalFormatting sqref="H2414:H2421">
    <cfRule type="cellIs" dxfId="8" priority="47" stopIfTrue="1" operator="equal">
      <formula>0</formula>
    </cfRule>
  </conditionalFormatting>
  <conditionalFormatting sqref="H2426:H2429">
    <cfRule type="cellIs" dxfId="7" priority="43" stopIfTrue="1" operator="equal">
      <formula>0</formula>
    </cfRule>
  </conditionalFormatting>
  <conditionalFormatting sqref="H2434">
    <cfRule type="cellIs" dxfId="6" priority="41" stopIfTrue="1" operator="equal">
      <formula>0</formula>
    </cfRule>
  </conditionalFormatting>
  <conditionalFormatting sqref="H2439:H2440">
    <cfRule type="cellIs" dxfId="5" priority="40" stopIfTrue="1" operator="equal">
      <formula>0</formula>
    </cfRule>
  </conditionalFormatting>
  <conditionalFormatting sqref="H2445">
    <cfRule type="cellIs" dxfId="4" priority="39" stopIfTrue="1" operator="equal">
      <formula>0</formula>
    </cfRule>
  </conditionalFormatting>
  <conditionalFormatting sqref="H2450:H2463">
    <cfRule type="cellIs" dxfId="3" priority="38" stopIfTrue="1" operator="equal">
      <formula>0</formula>
    </cfRule>
  </conditionalFormatting>
  <conditionalFormatting sqref="I114">
    <cfRule type="cellIs" dxfId="2" priority="710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68" firstPageNumber="0" fitToHeight="3" orientation="portrait" r:id="rId1"/>
  <headerFooter alignWithMargins="0">
    <oddFooter>&amp;R&amp;P / &amp;N</oddFooter>
  </headerFooter>
  <rowBreaks count="5" manualBreakCount="5">
    <brk id="113" max="8" man="1"/>
    <brk id="224" max="8" man="1"/>
    <brk id="340" max="8" man="1"/>
    <brk id="1295" max="8" man="1"/>
    <brk id="2307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05EEE-5FD0-475D-8568-527D81F4485A}">
  <sheetPr>
    <tabColor theme="5" tint="0.59999389629810485"/>
  </sheetPr>
  <dimension ref="A1:L168"/>
  <sheetViews>
    <sheetView view="pageBreakPreview" topLeftCell="B157" zoomScale="90" zoomScaleNormal="100" zoomScaleSheetLayoutView="90" workbookViewId="0">
      <selection activeCell="Q17" sqref="Q17"/>
    </sheetView>
  </sheetViews>
  <sheetFormatPr defaultColWidth="9.109375" defaultRowHeight="11.4" outlineLevelCol="1"/>
  <cols>
    <col min="1" max="1" width="8" style="3" hidden="1" customWidth="1" outlineLevel="1"/>
    <col min="2" max="2" width="10.6640625" style="363" customWidth="1" collapsed="1"/>
    <col min="3" max="3" width="10.88671875" style="5" bestFit="1" customWidth="1"/>
    <col min="4" max="4" width="8.6640625" style="5" customWidth="1"/>
    <col min="5" max="5" width="58.6640625" style="8" customWidth="1"/>
    <col min="6" max="6" width="5.6640625" style="4" customWidth="1"/>
    <col min="7" max="7" width="10.33203125" style="4" customWidth="1"/>
    <col min="8" max="8" width="9.33203125" style="4" customWidth="1"/>
    <col min="9" max="9" width="12.88671875" style="2" customWidth="1"/>
    <col min="10" max="11" width="9.109375" style="8"/>
    <col min="12" max="12" width="9.109375" style="51"/>
    <col min="13" max="16384" width="9.109375" style="8"/>
  </cols>
  <sheetData>
    <row r="1" spans="1:12" customFormat="1" ht="52.5" customHeight="1">
      <c r="A1" s="23"/>
      <c r="B1" s="321" t="s">
        <v>202</v>
      </c>
      <c r="C1" s="579" t="s">
        <v>696</v>
      </c>
      <c r="D1" s="580"/>
      <c r="E1" s="580"/>
      <c r="F1" s="580"/>
      <c r="G1" s="580"/>
      <c r="H1" s="580"/>
      <c r="I1" s="581"/>
      <c r="L1" s="50"/>
    </row>
    <row r="2" spans="1:12" ht="36" customHeight="1">
      <c r="A2" s="11"/>
      <c r="B2" s="322" t="s">
        <v>334</v>
      </c>
      <c r="C2" s="558" t="s">
        <v>697</v>
      </c>
      <c r="D2" s="559"/>
      <c r="E2" s="560"/>
      <c r="F2" s="560"/>
      <c r="G2" s="560"/>
      <c r="H2" s="560"/>
      <c r="I2" s="561"/>
    </row>
    <row r="3" spans="1:12" ht="24">
      <c r="A3" s="1" t="s">
        <v>0</v>
      </c>
      <c r="B3" s="323" t="s">
        <v>0</v>
      </c>
      <c r="C3" s="331" t="s">
        <v>210</v>
      </c>
      <c r="D3" s="331" t="s">
        <v>333</v>
      </c>
      <c r="E3" s="469" t="s">
        <v>203</v>
      </c>
      <c r="F3" s="470" t="s">
        <v>204</v>
      </c>
      <c r="G3" s="469" t="s">
        <v>1</v>
      </c>
      <c r="H3" s="471" t="s">
        <v>111</v>
      </c>
      <c r="I3" s="472" t="s">
        <v>112</v>
      </c>
    </row>
    <row r="4" spans="1:12" s="440" customFormat="1" ht="13.2">
      <c r="A4" s="447" t="s">
        <v>5</v>
      </c>
      <c r="B4" s="473" t="s">
        <v>439</v>
      </c>
      <c r="C4" s="375" t="s">
        <v>440</v>
      </c>
      <c r="D4" s="374"/>
      <c r="E4" s="376" t="s">
        <v>441</v>
      </c>
      <c r="F4" s="377"/>
      <c r="G4" s="381"/>
      <c r="H4" s="379"/>
      <c r="I4" s="380"/>
      <c r="L4" s="448"/>
    </row>
    <row r="5" spans="1:12" s="440" customFormat="1" ht="22.8">
      <c r="A5" s="447" t="s">
        <v>18</v>
      </c>
      <c r="B5" s="474" t="s">
        <v>249</v>
      </c>
      <c r="C5" s="463"/>
      <c r="D5" s="463"/>
      <c r="E5" s="464" t="s">
        <v>160</v>
      </c>
      <c r="F5" s="465" t="s">
        <v>17</v>
      </c>
      <c r="G5" s="466">
        <v>58.3</v>
      </c>
      <c r="H5" s="467">
        <f>L5*$K$5</f>
        <v>0</v>
      </c>
      <c r="I5" s="468">
        <f t="shared" ref="I5" si="0">ROUND($G5*H5,2)</f>
        <v>0</v>
      </c>
      <c r="K5" s="440">
        <v>1</v>
      </c>
      <c r="L5" s="448"/>
    </row>
    <row r="6" spans="1:12" s="440" customFormat="1" ht="13.2">
      <c r="A6" s="449" t="s">
        <v>19</v>
      </c>
      <c r="B6" s="473" t="s">
        <v>250</v>
      </c>
      <c r="C6" s="375" t="s">
        <v>172</v>
      </c>
      <c r="D6" s="374"/>
      <c r="E6" s="376" t="s">
        <v>20</v>
      </c>
      <c r="F6" s="377"/>
      <c r="G6" s="381"/>
      <c r="H6" s="382"/>
      <c r="I6" s="380"/>
      <c r="L6" s="448"/>
    </row>
    <row r="7" spans="1:12" s="27" customFormat="1" ht="24">
      <c r="A7" s="28" t="s">
        <v>6</v>
      </c>
      <c r="B7" s="473"/>
      <c r="C7" s="71"/>
      <c r="D7" s="72"/>
      <c r="E7" s="73" t="s">
        <v>241</v>
      </c>
      <c r="F7" s="30"/>
      <c r="G7" s="31"/>
      <c r="H7"/>
      <c r="I7" s="36"/>
      <c r="L7" s="52"/>
    </row>
    <row r="8" spans="1:12" s="27" customFormat="1" ht="13.2">
      <c r="A8" s="28"/>
      <c r="B8" s="473" t="s">
        <v>251</v>
      </c>
      <c r="C8" s="74" t="s">
        <v>173</v>
      </c>
      <c r="D8" s="75"/>
      <c r="E8" s="76" t="s">
        <v>115</v>
      </c>
      <c r="F8" s="62" t="s">
        <v>13</v>
      </c>
      <c r="G8" s="63" t="s">
        <v>13</v>
      </c>
      <c r="H8" s="277" t="s">
        <v>13</v>
      </c>
      <c r="I8" s="269" t="s">
        <v>13</v>
      </c>
      <c r="L8" s="52"/>
    </row>
    <row r="9" spans="1:12" s="27" customFormat="1" ht="13.2">
      <c r="A9" s="28" t="s">
        <v>21</v>
      </c>
      <c r="B9" s="475"/>
      <c r="C9" s="77"/>
      <c r="D9" s="78"/>
      <c r="E9" s="79" t="s">
        <v>117</v>
      </c>
      <c r="F9" s="62" t="s">
        <v>13</v>
      </c>
      <c r="G9" s="63" t="s">
        <v>13</v>
      </c>
      <c r="H9" s="277" t="s">
        <v>13</v>
      </c>
      <c r="I9" s="269" t="s">
        <v>13</v>
      </c>
      <c r="L9" s="52"/>
    </row>
    <row r="10" spans="1:12" s="27" customFormat="1" ht="13.2">
      <c r="A10" s="26"/>
      <c r="B10" s="474" t="s">
        <v>252</v>
      </c>
      <c r="C10" s="77"/>
      <c r="D10" s="78"/>
      <c r="E10" s="80" t="s">
        <v>134</v>
      </c>
      <c r="F10" s="81" t="s">
        <v>23</v>
      </c>
      <c r="G10" s="68">
        <v>141883</v>
      </c>
      <c r="H10" s="277">
        <f t="shared" ref="H10:H69" si="1">L10*$K$5</f>
        <v>0</v>
      </c>
      <c r="I10" s="325">
        <f t="shared" ref="I10:I14" si="2">ROUND($G10*H10,2)</f>
        <v>0</v>
      </c>
      <c r="L10" s="52"/>
    </row>
    <row r="11" spans="1:12" s="27" customFormat="1" ht="19.5" customHeight="1">
      <c r="A11" s="26" t="s">
        <v>22</v>
      </c>
      <c r="B11" s="474" t="s">
        <v>253</v>
      </c>
      <c r="C11" s="66"/>
      <c r="D11" s="82"/>
      <c r="E11" s="80" t="s">
        <v>163</v>
      </c>
      <c r="F11" s="81" t="s">
        <v>23</v>
      </c>
      <c r="G11" s="68">
        <v>931</v>
      </c>
      <c r="H11" s="277">
        <f t="shared" si="1"/>
        <v>0</v>
      </c>
      <c r="I11" s="325">
        <f t="shared" si="2"/>
        <v>0</v>
      </c>
      <c r="L11" s="52"/>
    </row>
    <row r="12" spans="1:12" s="27" customFormat="1" ht="19.5" customHeight="1">
      <c r="A12" s="26" t="s">
        <v>24</v>
      </c>
      <c r="B12" s="474" t="s">
        <v>254</v>
      </c>
      <c r="C12" s="66"/>
      <c r="D12" s="82"/>
      <c r="E12" s="80" t="s">
        <v>118</v>
      </c>
      <c r="F12" s="81" t="s">
        <v>23</v>
      </c>
      <c r="G12" s="68">
        <v>2293</v>
      </c>
      <c r="H12" s="277">
        <f t="shared" si="1"/>
        <v>0</v>
      </c>
      <c r="I12" s="325">
        <f t="shared" si="2"/>
        <v>0</v>
      </c>
      <c r="L12" s="52"/>
    </row>
    <row r="13" spans="1:12" s="27" customFormat="1" ht="19.5" customHeight="1">
      <c r="A13" s="26" t="s">
        <v>25</v>
      </c>
      <c r="B13" s="474" t="s">
        <v>255</v>
      </c>
      <c r="C13" s="66"/>
      <c r="D13" s="82"/>
      <c r="E13" s="80" t="s">
        <v>698</v>
      </c>
      <c r="F13" s="81" t="s">
        <v>23</v>
      </c>
      <c r="G13" s="68">
        <v>719</v>
      </c>
      <c r="H13" s="277">
        <f t="shared" si="1"/>
        <v>0</v>
      </c>
      <c r="I13" s="325">
        <f t="shared" si="2"/>
        <v>0</v>
      </c>
      <c r="L13" s="52"/>
    </row>
    <row r="14" spans="1:12" s="27" customFormat="1" ht="19.5" customHeight="1">
      <c r="A14" s="26" t="s">
        <v>79</v>
      </c>
      <c r="B14" s="474" t="s">
        <v>449</v>
      </c>
      <c r="C14" s="83"/>
      <c r="D14" s="84"/>
      <c r="E14" s="85" t="s">
        <v>205</v>
      </c>
      <c r="F14" s="81" t="s">
        <v>3</v>
      </c>
      <c r="G14" s="68">
        <v>26</v>
      </c>
      <c r="H14" s="324">
        <f t="shared" si="1"/>
        <v>0</v>
      </c>
      <c r="I14" s="325">
        <f t="shared" si="2"/>
        <v>0</v>
      </c>
      <c r="L14" s="52"/>
    </row>
    <row r="15" spans="1:12" s="27" customFormat="1" ht="13.2">
      <c r="A15" s="26"/>
      <c r="B15" s="475"/>
      <c r="C15" s="83"/>
      <c r="D15" s="84"/>
      <c r="E15" s="87" t="s">
        <v>26</v>
      </c>
      <c r="F15" s="81" t="s">
        <v>153</v>
      </c>
      <c r="G15" s="37">
        <v>5</v>
      </c>
      <c r="H15" s="184"/>
      <c r="I15" s="326" t="s">
        <v>13</v>
      </c>
      <c r="L15" s="52"/>
    </row>
    <row r="16" spans="1:12" s="440" customFormat="1" ht="13.2">
      <c r="A16" s="447" t="s">
        <v>7</v>
      </c>
      <c r="B16" s="473" t="s">
        <v>256</v>
      </c>
      <c r="C16" s="375" t="s">
        <v>174</v>
      </c>
      <c r="D16" s="374"/>
      <c r="E16" s="376" t="s">
        <v>27</v>
      </c>
      <c r="F16" s="377"/>
      <c r="G16" s="381"/>
      <c r="H16" s="382"/>
      <c r="I16" s="396"/>
      <c r="L16" s="448"/>
    </row>
    <row r="17" spans="1:12" s="440" customFormat="1" ht="24">
      <c r="A17" s="447"/>
      <c r="B17" s="473"/>
      <c r="C17" s="415"/>
      <c r="D17" s="416"/>
      <c r="E17" s="432" t="s">
        <v>241</v>
      </c>
      <c r="F17" s="418"/>
      <c r="G17" s="459"/>
      <c r="H17" s="382"/>
      <c r="I17" s="421"/>
      <c r="L17" s="448"/>
    </row>
    <row r="18" spans="1:12" s="27" customFormat="1" ht="13.2">
      <c r="A18" s="28" t="s">
        <v>28</v>
      </c>
      <c r="B18" s="473" t="s">
        <v>257</v>
      </c>
      <c r="C18" s="74" t="s">
        <v>175</v>
      </c>
      <c r="D18" s="75"/>
      <c r="E18" s="76" t="s">
        <v>29</v>
      </c>
      <c r="F18" s="62" t="s">
        <v>13</v>
      </c>
      <c r="G18" s="62" t="s">
        <v>13</v>
      </c>
      <c r="H18" s="327" t="s">
        <v>13</v>
      </c>
      <c r="I18" s="269" t="s">
        <v>13</v>
      </c>
      <c r="L18" s="52"/>
    </row>
    <row r="19" spans="1:12" s="27" customFormat="1" ht="22.8">
      <c r="A19" s="26"/>
      <c r="B19" s="474" t="s">
        <v>258</v>
      </c>
      <c r="C19" s="88"/>
      <c r="D19" s="89"/>
      <c r="E19" s="76" t="s">
        <v>135</v>
      </c>
      <c r="F19" s="62" t="s">
        <v>17</v>
      </c>
      <c r="G19" s="68">
        <v>256</v>
      </c>
      <c r="H19" s="277">
        <f t="shared" si="1"/>
        <v>0</v>
      </c>
      <c r="I19" s="325">
        <f>ROUND($G19*H19,2)</f>
        <v>0</v>
      </c>
      <c r="L19" s="52"/>
    </row>
    <row r="20" spans="1:12" s="27" customFormat="1" ht="13.2">
      <c r="A20" s="28" t="s">
        <v>30</v>
      </c>
      <c r="B20" s="473" t="s">
        <v>259</v>
      </c>
      <c r="C20" s="66" t="s">
        <v>176</v>
      </c>
      <c r="D20" s="66"/>
      <c r="E20" s="90" t="s">
        <v>31</v>
      </c>
      <c r="F20" s="81" t="s">
        <v>13</v>
      </c>
      <c r="G20" s="81" t="s">
        <v>13</v>
      </c>
      <c r="H20" s="277" t="s">
        <v>13</v>
      </c>
      <c r="I20" s="269" t="s">
        <v>13</v>
      </c>
      <c r="L20" s="52"/>
    </row>
    <row r="21" spans="1:12" s="27" customFormat="1" ht="13.2">
      <c r="A21" s="26" t="s">
        <v>32</v>
      </c>
      <c r="B21" s="474" t="s">
        <v>260</v>
      </c>
      <c r="C21" s="66"/>
      <c r="D21" s="66"/>
      <c r="E21" s="67" t="s">
        <v>165</v>
      </c>
      <c r="F21" s="62" t="s">
        <v>17</v>
      </c>
      <c r="G21" s="68">
        <v>12.67</v>
      </c>
      <c r="H21" s="277">
        <f t="shared" si="1"/>
        <v>0</v>
      </c>
      <c r="I21" s="325">
        <f>ROUND($G21*H21,2)</f>
        <v>0</v>
      </c>
      <c r="L21" s="52"/>
    </row>
    <row r="22" spans="1:12" s="27" customFormat="1" ht="13.2">
      <c r="A22" s="26"/>
      <c r="B22" s="473" t="s">
        <v>261</v>
      </c>
      <c r="C22" s="66" t="s">
        <v>177</v>
      </c>
      <c r="D22" s="66"/>
      <c r="E22" s="90" t="s">
        <v>129</v>
      </c>
      <c r="F22" s="81" t="s">
        <v>13</v>
      </c>
      <c r="G22" s="81" t="s">
        <v>13</v>
      </c>
      <c r="H22" s="277" t="s">
        <v>13</v>
      </c>
      <c r="I22" s="48" t="s">
        <v>13</v>
      </c>
      <c r="L22" s="52"/>
    </row>
    <row r="23" spans="1:12" s="27" customFormat="1" ht="13.2">
      <c r="A23" s="26"/>
      <c r="B23" s="474" t="s">
        <v>262</v>
      </c>
      <c r="C23" s="66"/>
      <c r="D23" s="66"/>
      <c r="E23" s="67" t="s">
        <v>136</v>
      </c>
      <c r="F23" s="62" t="s">
        <v>17</v>
      </c>
      <c r="G23" s="68">
        <v>189.7</v>
      </c>
      <c r="H23" s="277">
        <f t="shared" si="1"/>
        <v>0</v>
      </c>
      <c r="I23" s="325">
        <f>ROUND($G23*H23,2)</f>
        <v>0</v>
      </c>
      <c r="L23" s="52"/>
    </row>
    <row r="24" spans="1:12" s="27" customFormat="1" ht="13.2">
      <c r="A24" s="28" t="s">
        <v>33</v>
      </c>
      <c r="B24" s="473" t="s">
        <v>263</v>
      </c>
      <c r="C24" s="74" t="s">
        <v>178</v>
      </c>
      <c r="D24" s="74"/>
      <c r="E24" s="90" t="s">
        <v>34</v>
      </c>
      <c r="F24" s="62" t="s">
        <v>13</v>
      </c>
      <c r="G24" s="62" t="s">
        <v>13</v>
      </c>
      <c r="H24" s="277" t="s">
        <v>13</v>
      </c>
      <c r="I24" s="269" t="s">
        <v>13</v>
      </c>
      <c r="L24" s="52"/>
    </row>
    <row r="25" spans="1:12" s="27" customFormat="1" ht="22.8">
      <c r="A25" s="26" t="s">
        <v>35</v>
      </c>
      <c r="B25" s="474" t="s">
        <v>264</v>
      </c>
      <c r="C25" s="91"/>
      <c r="D25" s="91"/>
      <c r="E25" s="92" t="s">
        <v>146</v>
      </c>
      <c r="F25" s="62" t="s">
        <v>17</v>
      </c>
      <c r="G25" s="68">
        <v>10.53</v>
      </c>
      <c r="H25" s="277">
        <f t="shared" si="1"/>
        <v>0</v>
      </c>
      <c r="I25" s="325">
        <f>ROUND($G25*H25,2)</f>
        <v>0</v>
      </c>
      <c r="L25" s="52"/>
    </row>
    <row r="26" spans="1:12" s="27" customFormat="1" ht="13.2">
      <c r="A26" s="28" t="s">
        <v>36</v>
      </c>
      <c r="B26" s="473" t="s">
        <v>265</v>
      </c>
      <c r="C26" s="60" t="s">
        <v>179</v>
      </c>
      <c r="D26" s="60"/>
      <c r="E26" s="90" t="s">
        <v>130</v>
      </c>
      <c r="F26" s="62" t="s">
        <v>13</v>
      </c>
      <c r="G26" s="62" t="s">
        <v>13</v>
      </c>
      <c r="H26" s="277" t="s">
        <v>13</v>
      </c>
      <c r="I26" s="269" t="s">
        <v>13</v>
      </c>
      <c r="L26" s="52"/>
    </row>
    <row r="27" spans="1:12" s="27" customFormat="1" ht="13.2">
      <c r="A27" s="26"/>
      <c r="B27" s="474" t="s">
        <v>266</v>
      </c>
      <c r="C27" s="66"/>
      <c r="D27" s="66"/>
      <c r="E27" s="90" t="s">
        <v>137</v>
      </c>
      <c r="F27" s="62" t="s">
        <v>17</v>
      </c>
      <c r="G27" s="93">
        <v>229.15</v>
      </c>
      <c r="H27" s="277">
        <f t="shared" si="1"/>
        <v>0</v>
      </c>
      <c r="I27" s="325">
        <f>ROUND($G27*H27,2)</f>
        <v>0</v>
      </c>
      <c r="L27" s="52"/>
    </row>
    <row r="28" spans="1:12" s="27" customFormat="1" ht="13.2">
      <c r="A28" s="28" t="s">
        <v>37</v>
      </c>
      <c r="B28" s="473" t="s">
        <v>267</v>
      </c>
      <c r="C28" s="60" t="s">
        <v>180</v>
      </c>
      <c r="D28" s="60"/>
      <c r="E28" s="90" t="s">
        <v>119</v>
      </c>
      <c r="F28" s="81" t="s">
        <v>13</v>
      </c>
      <c r="G28" s="81" t="s">
        <v>13</v>
      </c>
      <c r="H28" s="277" t="s">
        <v>13</v>
      </c>
      <c r="I28" s="269" t="s">
        <v>13</v>
      </c>
      <c r="L28" s="52"/>
    </row>
    <row r="29" spans="1:12" s="27" customFormat="1" ht="13.2">
      <c r="A29" s="26" t="s">
        <v>38</v>
      </c>
      <c r="B29" s="474" t="s">
        <v>268</v>
      </c>
      <c r="C29" s="83"/>
      <c r="D29" s="83"/>
      <c r="E29" s="92" t="s">
        <v>138</v>
      </c>
      <c r="F29" s="62" t="s">
        <v>690</v>
      </c>
      <c r="G29" s="68">
        <v>18.600000000000001</v>
      </c>
      <c r="H29" s="277">
        <f t="shared" si="1"/>
        <v>0</v>
      </c>
      <c r="I29" s="325">
        <f>ROUND($G29*H29,2)</f>
        <v>0</v>
      </c>
      <c r="L29" s="52"/>
    </row>
    <row r="30" spans="1:12" s="27" customFormat="1" ht="13.2">
      <c r="A30" s="26"/>
      <c r="B30" s="473" t="s">
        <v>269</v>
      </c>
      <c r="C30" s="60" t="s">
        <v>541</v>
      </c>
      <c r="D30" s="60"/>
      <c r="E30" s="90" t="s">
        <v>542</v>
      </c>
      <c r="F30" s="62" t="s">
        <v>13</v>
      </c>
      <c r="G30" s="62" t="s">
        <v>13</v>
      </c>
      <c r="H30" s="277" t="s">
        <v>13</v>
      </c>
      <c r="I30" s="269" t="s">
        <v>13</v>
      </c>
      <c r="L30" s="52"/>
    </row>
    <row r="31" spans="1:12" s="27" customFormat="1" ht="22.8">
      <c r="A31" s="28" t="s">
        <v>40</v>
      </c>
      <c r="B31" s="474" t="s">
        <v>270</v>
      </c>
      <c r="C31" s="66"/>
      <c r="D31" s="66"/>
      <c r="E31" s="90" t="s">
        <v>699</v>
      </c>
      <c r="F31" s="62" t="s">
        <v>17</v>
      </c>
      <c r="G31" s="93">
        <v>7.7</v>
      </c>
      <c r="H31" s="277">
        <f t="shared" si="1"/>
        <v>0</v>
      </c>
      <c r="I31" s="325">
        <f>ROUND($G31*H31,2)</f>
        <v>0</v>
      </c>
      <c r="L31" s="52"/>
    </row>
    <row r="32" spans="1:12" s="27" customFormat="1" ht="13.2">
      <c r="A32" s="26" t="s">
        <v>41</v>
      </c>
      <c r="B32" s="475"/>
      <c r="C32" s="62"/>
      <c r="D32" s="95"/>
      <c r="E32" s="87" t="s">
        <v>39</v>
      </c>
      <c r="F32" s="62" t="s">
        <v>153</v>
      </c>
      <c r="G32" s="96">
        <v>7</v>
      </c>
      <c r="H32"/>
      <c r="I32" s="269" t="s">
        <v>13</v>
      </c>
      <c r="L32" s="52"/>
    </row>
    <row r="33" spans="1:12" s="27" customFormat="1" ht="13.2">
      <c r="A33" s="26" t="s">
        <v>42</v>
      </c>
      <c r="B33" s="473" t="s">
        <v>543</v>
      </c>
      <c r="C33" s="74" t="s">
        <v>181</v>
      </c>
      <c r="D33" s="75"/>
      <c r="E33" s="97" t="s">
        <v>139</v>
      </c>
      <c r="F33" s="62" t="s">
        <v>13</v>
      </c>
      <c r="G33" s="62" t="s">
        <v>13</v>
      </c>
      <c r="H33" s="277" t="s">
        <v>13</v>
      </c>
      <c r="I33" s="269" t="s">
        <v>13</v>
      </c>
      <c r="L33" s="52"/>
    </row>
    <row r="34" spans="1:12" s="27" customFormat="1" ht="22.8">
      <c r="A34" s="26"/>
      <c r="B34" s="474" t="s">
        <v>544</v>
      </c>
      <c r="C34" s="98"/>
      <c r="D34" s="99"/>
      <c r="E34" s="100" t="s">
        <v>140</v>
      </c>
      <c r="F34" s="62" t="s">
        <v>17</v>
      </c>
      <c r="G34" s="68">
        <v>45</v>
      </c>
      <c r="H34" s="277">
        <f t="shared" si="1"/>
        <v>0</v>
      </c>
      <c r="I34" s="325">
        <f>ROUND($G34*H34,2)</f>
        <v>0</v>
      </c>
      <c r="L34" s="52"/>
    </row>
    <row r="35" spans="1:12" s="27" customFormat="1" ht="22.8">
      <c r="A35" s="28" t="s">
        <v>8</v>
      </c>
      <c r="B35" s="474" t="s">
        <v>545</v>
      </c>
      <c r="C35" s="103"/>
      <c r="D35" s="104"/>
      <c r="E35" s="100" t="s">
        <v>141</v>
      </c>
      <c r="F35" s="62" t="s">
        <v>17</v>
      </c>
      <c r="G35" s="68">
        <v>4</v>
      </c>
      <c r="H35" s="324">
        <f t="shared" si="1"/>
        <v>0</v>
      </c>
      <c r="I35" s="325">
        <f>ROUND($G35*H35,2)</f>
        <v>0</v>
      </c>
      <c r="L35" s="52"/>
    </row>
    <row r="36" spans="1:12" s="27" customFormat="1" ht="13.2">
      <c r="A36" s="28"/>
      <c r="B36" s="475"/>
      <c r="C36" s="103"/>
      <c r="D36" s="104"/>
      <c r="E36" s="87" t="s">
        <v>43</v>
      </c>
      <c r="F36" s="62" t="s">
        <v>153</v>
      </c>
      <c r="G36" s="39">
        <v>2</v>
      </c>
      <c r="H36" s="184"/>
      <c r="I36" s="326" t="s">
        <v>13</v>
      </c>
      <c r="L36" s="52"/>
    </row>
    <row r="37" spans="1:12" s="440" customFormat="1" ht="13.2">
      <c r="A37" s="447" t="s">
        <v>45</v>
      </c>
      <c r="B37" s="473" t="s">
        <v>272</v>
      </c>
      <c r="C37" s="375" t="s">
        <v>200</v>
      </c>
      <c r="D37" s="374"/>
      <c r="E37" s="376" t="s">
        <v>44</v>
      </c>
      <c r="F37" s="377"/>
      <c r="G37" s="383"/>
      <c r="H37" s="382"/>
      <c r="I37" s="396"/>
      <c r="L37" s="448"/>
    </row>
    <row r="38" spans="1:12" s="440" customFormat="1" ht="24">
      <c r="A38" s="449"/>
      <c r="B38" s="473"/>
      <c r="C38" s="415"/>
      <c r="D38" s="416"/>
      <c r="E38" s="432" t="s">
        <v>241</v>
      </c>
      <c r="F38" s="418"/>
      <c r="G38" s="462"/>
      <c r="H38" s="382"/>
      <c r="I38" s="421"/>
      <c r="L38" s="448"/>
    </row>
    <row r="39" spans="1:12" s="27" customFormat="1" ht="13.2">
      <c r="A39" s="26"/>
      <c r="B39" s="473" t="s">
        <v>273</v>
      </c>
      <c r="C39" s="74" t="s">
        <v>167</v>
      </c>
      <c r="D39" s="74"/>
      <c r="E39" s="90" t="s">
        <v>132</v>
      </c>
      <c r="F39" s="62" t="s">
        <v>13</v>
      </c>
      <c r="G39" s="81" t="s">
        <v>13</v>
      </c>
      <c r="H39" s="327" t="s">
        <v>13</v>
      </c>
      <c r="I39" s="269" t="s">
        <v>13</v>
      </c>
      <c r="L39" s="52"/>
    </row>
    <row r="40" spans="1:12" s="27" customFormat="1" ht="13.2">
      <c r="A40" s="26"/>
      <c r="B40" s="474" t="s">
        <v>330</v>
      </c>
      <c r="C40" s="328"/>
      <c r="D40" s="328"/>
      <c r="E40" s="67" t="s">
        <v>700</v>
      </c>
      <c r="F40" s="62" t="s">
        <v>23</v>
      </c>
      <c r="G40" s="68">
        <v>80</v>
      </c>
      <c r="H40" s="277">
        <f t="shared" si="1"/>
        <v>0</v>
      </c>
      <c r="I40" s="325">
        <f>ROUND($G40*H40,2)</f>
        <v>0</v>
      </c>
      <c r="L40" s="52"/>
    </row>
    <row r="41" spans="1:12" s="27" customFormat="1" ht="22.8">
      <c r="A41" s="26"/>
      <c r="B41" s="474" t="s">
        <v>339</v>
      </c>
      <c r="C41" s="106" t="s">
        <v>120</v>
      </c>
      <c r="D41" s="106"/>
      <c r="E41" s="110" t="s">
        <v>340</v>
      </c>
      <c r="F41" s="62" t="s">
        <v>4</v>
      </c>
      <c r="G41" s="68">
        <v>119</v>
      </c>
      <c r="H41" s="277">
        <f t="shared" si="1"/>
        <v>0</v>
      </c>
      <c r="I41" s="325">
        <f>ROUND($G41*H41,2)</f>
        <v>0</v>
      </c>
      <c r="L41" s="52"/>
    </row>
    <row r="42" spans="1:12" s="27" customFormat="1" ht="22.5" customHeight="1">
      <c r="A42" s="26"/>
      <c r="B42" s="474" t="s">
        <v>454</v>
      </c>
      <c r="C42" s="74" t="s">
        <v>355</v>
      </c>
      <c r="D42" s="74"/>
      <c r="E42" s="90" t="s">
        <v>495</v>
      </c>
      <c r="F42" s="170" t="s">
        <v>13</v>
      </c>
      <c r="G42" s="81" t="s">
        <v>13</v>
      </c>
      <c r="H42" s="277" t="s">
        <v>13</v>
      </c>
      <c r="I42" s="48" t="s">
        <v>13</v>
      </c>
      <c r="L42" s="52"/>
    </row>
    <row r="43" spans="1:12" ht="22.8">
      <c r="B43" s="474" t="s">
        <v>274</v>
      </c>
      <c r="C43" s="206"/>
      <c r="D43" s="206"/>
      <c r="E43" s="90" t="s">
        <v>154</v>
      </c>
      <c r="F43" s="109" t="s">
        <v>15</v>
      </c>
      <c r="G43" s="68">
        <v>158.05000000000001</v>
      </c>
      <c r="H43" s="324">
        <f t="shared" si="1"/>
        <v>0</v>
      </c>
      <c r="I43" s="325">
        <f>ROUND($G43*H43,2)</f>
        <v>0</v>
      </c>
    </row>
    <row r="44" spans="1:12" ht="13.2">
      <c r="B44" s="475"/>
      <c r="C44" s="12"/>
      <c r="D44" s="25"/>
      <c r="E44" s="87" t="s">
        <v>46</v>
      </c>
      <c r="F44" s="13" t="s">
        <v>153</v>
      </c>
      <c r="G44" s="96">
        <v>3</v>
      </c>
      <c r="H44" s="184"/>
      <c r="I44" s="326" t="s">
        <v>13</v>
      </c>
    </row>
    <row r="45" spans="1:12" s="440" customFormat="1" ht="13.2">
      <c r="A45" s="450"/>
      <c r="B45" s="473" t="s">
        <v>275</v>
      </c>
      <c r="C45" s="375" t="s">
        <v>201</v>
      </c>
      <c r="D45" s="374"/>
      <c r="E45" s="407" t="s">
        <v>380</v>
      </c>
      <c r="F45" s="377"/>
      <c r="G45" s="381"/>
      <c r="H45" s="382"/>
      <c r="I45" s="396"/>
      <c r="L45" s="448"/>
    </row>
    <row r="46" spans="1:12" s="440" customFormat="1" ht="24">
      <c r="A46" s="450"/>
      <c r="B46" s="473"/>
      <c r="C46" s="415"/>
      <c r="D46" s="416"/>
      <c r="E46" s="432" t="s">
        <v>241</v>
      </c>
      <c r="F46" s="418"/>
      <c r="G46" s="459"/>
      <c r="H46" s="382"/>
      <c r="I46" s="421"/>
      <c r="L46" s="448"/>
    </row>
    <row r="47" spans="1:12" ht="13.2">
      <c r="B47" s="473" t="s">
        <v>276</v>
      </c>
      <c r="C47" s="60" t="s">
        <v>182</v>
      </c>
      <c r="D47" s="60"/>
      <c r="E47" s="90" t="s">
        <v>49</v>
      </c>
      <c r="F47" s="62" t="s">
        <v>13</v>
      </c>
      <c r="G47" s="62" t="s">
        <v>13</v>
      </c>
      <c r="H47" s="327" t="s">
        <v>13</v>
      </c>
      <c r="I47" s="269" t="s">
        <v>13</v>
      </c>
    </row>
    <row r="48" spans="1:12" ht="34.200000000000003">
      <c r="B48" s="474" t="s">
        <v>277</v>
      </c>
      <c r="C48" s="66"/>
      <c r="D48" s="66"/>
      <c r="E48" s="110" t="s">
        <v>207</v>
      </c>
      <c r="F48" s="62" t="s">
        <v>15</v>
      </c>
      <c r="G48" s="68">
        <v>744</v>
      </c>
      <c r="H48" s="277">
        <f t="shared" si="1"/>
        <v>0</v>
      </c>
      <c r="I48" s="325">
        <f t="shared" ref="I48:I49" si="3">ROUND($G48*H48,2)</f>
        <v>0</v>
      </c>
    </row>
    <row r="49" spans="1:12" ht="34.200000000000003">
      <c r="B49" s="474" t="s">
        <v>278</v>
      </c>
      <c r="C49" s="83"/>
      <c r="D49" s="83"/>
      <c r="E49" s="92" t="s">
        <v>149</v>
      </c>
      <c r="F49" s="62" t="s">
        <v>15</v>
      </c>
      <c r="G49" s="68">
        <v>18.66</v>
      </c>
      <c r="H49" s="277">
        <f t="shared" si="1"/>
        <v>0</v>
      </c>
      <c r="I49" s="325">
        <f t="shared" si="3"/>
        <v>0</v>
      </c>
    </row>
    <row r="50" spans="1:12" ht="13.2">
      <c r="B50" s="473" t="s">
        <v>279</v>
      </c>
      <c r="C50" s="74" t="s">
        <v>168</v>
      </c>
      <c r="D50" s="74"/>
      <c r="E50" s="90" t="s">
        <v>155</v>
      </c>
      <c r="F50" s="81" t="s">
        <v>13</v>
      </c>
      <c r="G50" s="81" t="s">
        <v>13</v>
      </c>
      <c r="H50" s="277" t="s">
        <v>13</v>
      </c>
      <c r="I50" s="269" t="s">
        <v>13</v>
      </c>
    </row>
    <row r="51" spans="1:12" ht="22.8">
      <c r="B51" s="474" t="s">
        <v>280</v>
      </c>
      <c r="C51" s="103"/>
      <c r="D51" s="103"/>
      <c r="E51" s="110" t="s">
        <v>209</v>
      </c>
      <c r="F51" s="62" t="s">
        <v>15</v>
      </c>
      <c r="G51" s="68">
        <v>430.08</v>
      </c>
      <c r="H51" s="277">
        <f t="shared" si="1"/>
        <v>0</v>
      </c>
      <c r="I51" s="325">
        <f>ROUND($G51*H51,2)</f>
        <v>0</v>
      </c>
    </row>
    <row r="52" spans="1:12" ht="13.2">
      <c r="B52" s="474" t="s">
        <v>281</v>
      </c>
      <c r="C52" s="101"/>
      <c r="D52" s="101"/>
      <c r="E52" s="90" t="s">
        <v>150</v>
      </c>
      <c r="F52" s="62" t="s">
        <v>15</v>
      </c>
      <c r="G52" s="68">
        <v>5.85</v>
      </c>
      <c r="H52" s="277">
        <f t="shared" si="1"/>
        <v>0</v>
      </c>
      <c r="I52" s="325">
        <f>ROUND($G52*H52,2)</f>
        <v>0</v>
      </c>
    </row>
    <row r="53" spans="1:12" ht="13.2">
      <c r="B53" s="473" t="s">
        <v>282</v>
      </c>
      <c r="C53" s="74" t="s">
        <v>183</v>
      </c>
      <c r="D53" s="74"/>
      <c r="E53" s="90" t="s">
        <v>54</v>
      </c>
      <c r="F53" s="81" t="s">
        <v>13</v>
      </c>
      <c r="G53" s="81" t="s">
        <v>13</v>
      </c>
      <c r="H53" s="277" t="s">
        <v>13</v>
      </c>
      <c r="I53" s="269" t="s">
        <v>13</v>
      </c>
    </row>
    <row r="54" spans="1:12" ht="22.8">
      <c r="B54" s="474" t="s">
        <v>283</v>
      </c>
      <c r="C54" s="98"/>
      <c r="D54" s="98"/>
      <c r="E54" s="92" t="s">
        <v>156</v>
      </c>
      <c r="F54" s="62" t="s">
        <v>15</v>
      </c>
      <c r="G54" s="68">
        <v>43.29</v>
      </c>
      <c r="H54" s="277">
        <f>L54*$K$5</f>
        <v>0</v>
      </c>
      <c r="I54" s="325">
        <f>ROUND($G54*H54,2)</f>
        <v>0</v>
      </c>
    </row>
    <row r="55" spans="1:12" ht="13.2">
      <c r="B55" s="473" t="s">
        <v>284</v>
      </c>
      <c r="C55" s="74" t="s">
        <v>184</v>
      </c>
      <c r="D55" s="74"/>
      <c r="E55" s="90" t="s">
        <v>121</v>
      </c>
      <c r="F55" s="81" t="s">
        <v>13</v>
      </c>
      <c r="G55" s="81" t="s">
        <v>13</v>
      </c>
      <c r="H55" s="277" t="s">
        <v>13</v>
      </c>
      <c r="I55" s="48" t="s">
        <v>13</v>
      </c>
    </row>
    <row r="56" spans="1:12" ht="22.8">
      <c r="B56" s="474" t="s">
        <v>285</v>
      </c>
      <c r="C56" s="98"/>
      <c r="D56" s="98"/>
      <c r="E56" s="111" t="s">
        <v>122</v>
      </c>
      <c r="F56" s="83" t="s">
        <v>15</v>
      </c>
      <c r="G56" s="68">
        <v>303.97000000000003</v>
      </c>
      <c r="H56" s="277">
        <f t="shared" si="1"/>
        <v>0</v>
      </c>
      <c r="I56" s="325">
        <f>ROUND($G56*H56,2)</f>
        <v>0</v>
      </c>
    </row>
    <row r="57" spans="1:12" ht="13.2">
      <c r="B57" s="473" t="s">
        <v>286</v>
      </c>
      <c r="C57" s="74" t="s">
        <v>185</v>
      </c>
      <c r="D57" s="74"/>
      <c r="E57" s="90" t="s">
        <v>151</v>
      </c>
      <c r="F57" s="81" t="s">
        <v>13</v>
      </c>
      <c r="G57" s="81" t="s">
        <v>13</v>
      </c>
      <c r="H57" s="277" t="s">
        <v>13</v>
      </c>
      <c r="I57" s="269" t="s">
        <v>13</v>
      </c>
    </row>
    <row r="58" spans="1:12" ht="22.8">
      <c r="B58" s="474" t="s">
        <v>287</v>
      </c>
      <c r="C58" s="98"/>
      <c r="D58" s="98"/>
      <c r="E58" s="90" t="s">
        <v>152</v>
      </c>
      <c r="F58" s="83" t="s">
        <v>15</v>
      </c>
      <c r="G58" s="68">
        <v>52.2</v>
      </c>
      <c r="H58" s="324">
        <f t="shared" si="1"/>
        <v>0</v>
      </c>
      <c r="I58" s="325">
        <f>ROUND($G58*H58,2)</f>
        <v>0</v>
      </c>
    </row>
    <row r="59" spans="1:12" ht="13.2">
      <c r="B59" s="475"/>
      <c r="C59" s="12"/>
      <c r="D59" s="25"/>
      <c r="E59" s="87" t="s">
        <v>58</v>
      </c>
      <c r="F59" s="13" t="s">
        <v>153</v>
      </c>
      <c r="G59" s="96">
        <v>7</v>
      </c>
      <c r="H59" s="184"/>
      <c r="I59" s="326" t="s">
        <v>13</v>
      </c>
    </row>
    <row r="60" spans="1:12" s="440" customFormat="1" ht="13.2">
      <c r="A60" s="450"/>
      <c r="B60" s="473" t="s">
        <v>288</v>
      </c>
      <c r="C60" s="385" t="s">
        <v>186</v>
      </c>
      <c r="D60" s="386"/>
      <c r="E60" s="387" t="s">
        <v>81</v>
      </c>
      <c r="F60" s="388"/>
      <c r="G60" s="381"/>
      <c r="H60" s="382"/>
      <c r="I60" s="396"/>
      <c r="L60" s="448"/>
    </row>
    <row r="61" spans="1:12" s="440" customFormat="1" ht="24">
      <c r="A61" s="450"/>
      <c r="B61" s="473"/>
      <c r="C61" s="415"/>
      <c r="D61" s="416"/>
      <c r="E61" s="432" t="s">
        <v>241</v>
      </c>
      <c r="F61" s="418"/>
      <c r="G61" s="460"/>
      <c r="H61" s="382"/>
      <c r="I61" s="461"/>
      <c r="L61" s="448"/>
    </row>
    <row r="62" spans="1:12" ht="13.2">
      <c r="B62" s="473" t="s">
        <v>289</v>
      </c>
      <c r="C62" s="74" t="s">
        <v>187</v>
      </c>
      <c r="D62" s="74"/>
      <c r="E62" s="61" t="s">
        <v>360</v>
      </c>
      <c r="F62" s="62" t="s">
        <v>13</v>
      </c>
      <c r="G62" s="114" t="s">
        <v>13</v>
      </c>
      <c r="H62" s="327" t="s">
        <v>13</v>
      </c>
      <c r="I62" s="269" t="s">
        <v>13</v>
      </c>
    </row>
    <row r="63" spans="1:12" ht="13.2">
      <c r="B63" s="474" t="s">
        <v>290</v>
      </c>
      <c r="C63" s="115"/>
      <c r="D63" s="115"/>
      <c r="E63" s="67" t="s">
        <v>84</v>
      </c>
      <c r="F63" s="62" t="s">
        <v>4</v>
      </c>
      <c r="G63" s="68">
        <v>15.1</v>
      </c>
      <c r="H63" s="277">
        <f t="shared" si="1"/>
        <v>0</v>
      </c>
      <c r="I63" s="325">
        <f>ROUND($G63*H63,2)</f>
        <v>0</v>
      </c>
    </row>
    <row r="64" spans="1:12" ht="22.8">
      <c r="B64" s="474" t="s">
        <v>291</v>
      </c>
      <c r="C64" s="115"/>
      <c r="D64" s="115"/>
      <c r="E64" s="116" t="s">
        <v>701</v>
      </c>
      <c r="F64" s="62" t="s">
        <v>3</v>
      </c>
      <c r="G64" s="117">
        <v>4</v>
      </c>
      <c r="H64" s="324">
        <f t="shared" si="1"/>
        <v>0</v>
      </c>
      <c r="I64" s="325">
        <f>ROUND($G64*H64,2)</f>
        <v>0</v>
      </c>
    </row>
    <row r="65" spans="1:12" ht="13.2">
      <c r="B65" s="475"/>
      <c r="C65" s="73"/>
      <c r="D65" s="118"/>
      <c r="E65" s="112" t="s">
        <v>85</v>
      </c>
      <c r="F65" s="13" t="s">
        <v>153</v>
      </c>
      <c r="G65" s="119">
        <v>2</v>
      </c>
      <c r="H65" s="184"/>
      <c r="I65" s="326" t="s">
        <v>13</v>
      </c>
    </row>
    <row r="66" spans="1:12" s="440" customFormat="1" ht="13.2">
      <c r="A66" s="450"/>
      <c r="B66" s="473" t="s">
        <v>292</v>
      </c>
      <c r="C66" s="375" t="s">
        <v>188</v>
      </c>
      <c r="D66" s="374"/>
      <c r="E66" s="376" t="s">
        <v>59</v>
      </c>
      <c r="F66" s="377"/>
      <c r="G66" s="381"/>
      <c r="H66" s="382"/>
      <c r="I66" s="396"/>
      <c r="L66" s="448"/>
    </row>
    <row r="67" spans="1:12" s="440" customFormat="1" ht="24">
      <c r="A67" s="450"/>
      <c r="B67" s="473"/>
      <c r="C67" s="415"/>
      <c r="D67" s="416"/>
      <c r="E67" s="432" t="s">
        <v>241</v>
      </c>
      <c r="F67" s="418"/>
      <c r="G67" s="459"/>
      <c r="H67" s="382"/>
      <c r="I67" s="421"/>
      <c r="L67" s="448"/>
    </row>
    <row r="68" spans="1:12" ht="13.2">
      <c r="B68" s="473" t="s">
        <v>293</v>
      </c>
      <c r="C68" s="120" t="s">
        <v>189</v>
      </c>
      <c r="D68" s="121"/>
      <c r="E68" s="122" t="s">
        <v>60</v>
      </c>
      <c r="F68" s="62" t="s">
        <v>13</v>
      </c>
      <c r="G68" s="62" t="s">
        <v>13</v>
      </c>
      <c r="H68" s="184"/>
      <c r="I68" s="326" t="s">
        <v>13</v>
      </c>
    </row>
    <row r="69" spans="1:12" ht="45.6">
      <c r="B69" s="474" t="s">
        <v>294</v>
      </c>
      <c r="C69" s="123"/>
      <c r="D69" s="124"/>
      <c r="E69" s="80" t="s">
        <v>123</v>
      </c>
      <c r="F69" s="81" t="s">
        <v>4</v>
      </c>
      <c r="G69" s="68">
        <v>11.7</v>
      </c>
      <c r="H69" s="327">
        <f t="shared" si="1"/>
        <v>0</v>
      </c>
      <c r="I69" s="325">
        <f t="shared" ref="I69:I71" si="4">ROUND($G69*H69,2)</f>
        <v>0</v>
      </c>
    </row>
    <row r="70" spans="1:12" ht="34.200000000000003">
      <c r="B70" s="474" t="s">
        <v>295</v>
      </c>
      <c r="C70" s="123"/>
      <c r="D70" s="124"/>
      <c r="E70" s="80" t="s">
        <v>124</v>
      </c>
      <c r="F70" s="81" t="s">
        <v>4</v>
      </c>
      <c r="G70" s="68">
        <v>25.2</v>
      </c>
      <c r="H70" s="277">
        <f t="shared" ref="H70:H109" si="5">L70*$K$5</f>
        <v>0</v>
      </c>
      <c r="I70" s="325">
        <f t="shared" si="4"/>
        <v>0</v>
      </c>
    </row>
    <row r="71" spans="1:12" ht="34.200000000000003">
      <c r="B71" s="474" t="s">
        <v>296</v>
      </c>
      <c r="C71" s="125"/>
      <c r="D71" s="126"/>
      <c r="E71" s="127" t="s">
        <v>144</v>
      </c>
      <c r="F71" s="128" t="s">
        <v>4</v>
      </c>
      <c r="G71" s="68">
        <v>24.2</v>
      </c>
      <c r="H71" s="324">
        <f t="shared" si="5"/>
        <v>0</v>
      </c>
      <c r="I71" s="325">
        <f t="shared" si="4"/>
        <v>0</v>
      </c>
    </row>
    <row r="72" spans="1:12" ht="13.2">
      <c r="B72" s="475"/>
      <c r="C72" s="129"/>
      <c r="D72" s="130"/>
      <c r="E72" s="87" t="s">
        <v>61</v>
      </c>
      <c r="F72" s="13" t="s">
        <v>153</v>
      </c>
      <c r="G72" s="119">
        <v>3</v>
      </c>
      <c r="H72" s="184"/>
      <c r="I72" s="326" t="s">
        <v>13</v>
      </c>
    </row>
    <row r="73" spans="1:12" s="440" customFormat="1" ht="13.2">
      <c r="A73" s="450"/>
      <c r="B73" s="473" t="s">
        <v>297</v>
      </c>
      <c r="C73" s="375" t="s">
        <v>190</v>
      </c>
      <c r="D73" s="374"/>
      <c r="E73" s="376" t="s">
        <v>62</v>
      </c>
      <c r="F73" s="377"/>
      <c r="G73" s="381"/>
      <c r="H73" s="382"/>
      <c r="I73" s="396"/>
      <c r="L73" s="448"/>
    </row>
    <row r="74" spans="1:12" s="440" customFormat="1" ht="24">
      <c r="A74" s="450"/>
      <c r="B74" s="473"/>
      <c r="C74" s="415"/>
      <c r="D74" s="416"/>
      <c r="E74" s="432" t="s">
        <v>241</v>
      </c>
      <c r="F74" s="418"/>
      <c r="G74" s="459"/>
      <c r="H74" s="382"/>
      <c r="I74" s="421"/>
      <c r="L74" s="448"/>
    </row>
    <row r="75" spans="1:12" ht="13.2">
      <c r="B75" s="473" t="s">
        <v>298</v>
      </c>
      <c r="C75" s="60" t="s">
        <v>191</v>
      </c>
      <c r="D75" s="60"/>
      <c r="E75" s="90" t="s">
        <v>702</v>
      </c>
      <c r="F75" s="62" t="s">
        <v>13</v>
      </c>
      <c r="G75" s="62" t="s">
        <v>13</v>
      </c>
      <c r="H75" s="327" t="s">
        <v>13</v>
      </c>
      <c r="I75" s="269" t="s">
        <v>13</v>
      </c>
    </row>
    <row r="76" spans="1:12" ht="22.8">
      <c r="B76" s="474" t="s">
        <v>299</v>
      </c>
      <c r="C76" s="66"/>
      <c r="D76" s="66"/>
      <c r="E76" s="266" t="s">
        <v>607</v>
      </c>
      <c r="F76" s="132" t="s">
        <v>23</v>
      </c>
      <c r="G76" s="68">
        <v>460</v>
      </c>
      <c r="H76" s="277">
        <f t="shared" si="5"/>
        <v>0</v>
      </c>
      <c r="I76" s="325">
        <f t="shared" ref="I76:I77" si="6">ROUND($G76*H76,2)</f>
        <v>0</v>
      </c>
    </row>
    <row r="77" spans="1:12" ht="22.8">
      <c r="B77" s="474" t="s">
        <v>300</v>
      </c>
      <c r="C77" s="66"/>
      <c r="D77" s="66"/>
      <c r="E77" s="266" t="s">
        <v>684</v>
      </c>
      <c r="F77" s="132" t="s">
        <v>23</v>
      </c>
      <c r="G77" s="68">
        <v>2102</v>
      </c>
      <c r="H77" s="324">
        <f t="shared" si="5"/>
        <v>0</v>
      </c>
      <c r="I77" s="325">
        <f t="shared" si="6"/>
        <v>0</v>
      </c>
    </row>
    <row r="78" spans="1:12" ht="13.2">
      <c r="B78" s="475"/>
      <c r="C78" s="12"/>
      <c r="D78" s="25"/>
      <c r="E78" s="87" t="s">
        <v>63</v>
      </c>
      <c r="F78" s="13"/>
      <c r="G78" s="134">
        <v>2</v>
      </c>
      <c r="H78" s="184"/>
      <c r="I78" s="326" t="s">
        <v>13</v>
      </c>
    </row>
    <row r="79" spans="1:12" s="440" customFormat="1" ht="13.2">
      <c r="A79" s="450"/>
      <c r="B79" s="473" t="s">
        <v>301</v>
      </c>
      <c r="C79" s="375" t="s">
        <v>192</v>
      </c>
      <c r="D79" s="374"/>
      <c r="E79" s="376" t="s">
        <v>64</v>
      </c>
      <c r="F79" s="377"/>
      <c r="G79" s="381"/>
      <c r="H79" s="382"/>
      <c r="I79" s="396"/>
      <c r="L79" s="448"/>
    </row>
    <row r="80" spans="1:12" s="440" customFormat="1" ht="24">
      <c r="A80" s="450"/>
      <c r="B80" s="473"/>
      <c r="C80" s="415"/>
      <c r="D80" s="416"/>
      <c r="E80" s="432" t="s">
        <v>241</v>
      </c>
      <c r="F80" s="418"/>
      <c r="G80" s="459"/>
      <c r="H80" s="382"/>
      <c r="I80" s="421"/>
      <c r="L80" s="448"/>
    </row>
    <row r="81" spans="2:9" ht="13.2">
      <c r="B81" s="473" t="s">
        <v>302</v>
      </c>
      <c r="C81" s="60" t="s">
        <v>193</v>
      </c>
      <c r="D81" s="60"/>
      <c r="E81" s="135" t="s">
        <v>66</v>
      </c>
      <c r="F81" s="136" t="s">
        <v>13</v>
      </c>
      <c r="G81" s="136" t="s">
        <v>13</v>
      </c>
      <c r="H81" s="327" t="s">
        <v>13</v>
      </c>
      <c r="I81" s="269" t="s">
        <v>13</v>
      </c>
    </row>
    <row r="82" spans="2:9" ht="13.2">
      <c r="B82" s="474" t="s">
        <v>303</v>
      </c>
      <c r="C82" s="83"/>
      <c r="D82" s="83"/>
      <c r="E82" s="116" t="s">
        <v>158</v>
      </c>
      <c r="F82" s="137" t="s">
        <v>16</v>
      </c>
      <c r="G82" s="68">
        <v>329.4</v>
      </c>
      <c r="H82" s="277">
        <f t="shared" si="5"/>
        <v>0</v>
      </c>
      <c r="I82" s="325">
        <f>ROUND($G82*H82,2)</f>
        <v>0</v>
      </c>
    </row>
    <row r="83" spans="2:9" ht="13.2">
      <c r="B83" s="473" t="s">
        <v>304</v>
      </c>
      <c r="C83" s="74" t="s">
        <v>194</v>
      </c>
      <c r="D83" s="74"/>
      <c r="E83" s="135" t="s">
        <v>68</v>
      </c>
      <c r="F83" s="136" t="s">
        <v>13</v>
      </c>
      <c r="G83" s="136" t="s">
        <v>13</v>
      </c>
      <c r="H83" s="277" t="s">
        <v>13</v>
      </c>
      <c r="I83" s="269" t="s">
        <v>13</v>
      </c>
    </row>
    <row r="84" spans="2:9" ht="34.799999999999997">
      <c r="B84" s="474" t="s">
        <v>305</v>
      </c>
      <c r="C84" s="98"/>
      <c r="D84" s="98"/>
      <c r="E84" s="116" t="s">
        <v>208</v>
      </c>
      <c r="F84" s="136" t="s">
        <v>4</v>
      </c>
      <c r="G84" s="68">
        <v>50.5</v>
      </c>
      <c r="H84" s="277">
        <f t="shared" si="5"/>
        <v>0</v>
      </c>
      <c r="I84" s="325">
        <f t="shared" ref="I84:I85" si="7">ROUND($G84*H84,2)</f>
        <v>0</v>
      </c>
    </row>
    <row r="85" spans="2:9" ht="13.2">
      <c r="B85" s="474" t="s">
        <v>306</v>
      </c>
      <c r="C85" s="101"/>
      <c r="D85" s="103"/>
      <c r="E85" s="138" t="s">
        <v>133</v>
      </c>
      <c r="F85" s="136" t="s">
        <v>3</v>
      </c>
      <c r="G85" s="117">
        <v>2</v>
      </c>
      <c r="H85" s="277">
        <f t="shared" si="5"/>
        <v>0</v>
      </c>
      <c r="I85" s="325">
        <f t="shared" si="7"/>
        <v>0</v>
      </c>
    </row>
    <row r="86" spans="2:9" ht="13.2">
      <c r="B86" s="473" t="s">
        <v>307</v>
      </c>
      <c r="C86" s="74" t="s">
        <v>169</v>
      </c>
      <c r="D86" s="75"/>
      <c r="E86" s="122" t="s">
        <v>69</v>
      </c>
      <c r="F86" s="62" t="s">
        <v>13</v>
      </c>
      <c r="G86" s="62" t="s">
        <v>13</v>
      </c>
      <c r="H86" s="277" t="s">
        <v>13</v>
      </c>
      <c r="I86" s="269" t="s">
        <v>13</v>
      </c>
    </row>
    <row r="87" spans="2:9" ht="22.8">
      <c r="B87" s="474" t="s">
        <v>308</v>
      </c>
      <c r="C87" s="98"/>
      <c r="D87" s="99"/>
      <c r="E87" s="80" t="s">
        <v>161</v>
      </c>
      <c r="F87" s="81" t="s">
        <v>16</v>
      </c>
      <c r="G87" s="68">
        <v>109</v>
      </c>
      <c r="H87" s="277">
        <f t="shared" si="5"/>
        <v>0</v>
      </c>
      <c r="I87" s="325">
        <f t="shared" ref="I87:I89" si="8">ROUND($G87*H87,2)</f>
        <v>0</v>
      </c>
    </row>
    <row r="88" spans="2:9" ht="22.8">
      <c r="B88" s="474" t="s">
        <v>309</v>
      </c>
      <c r="C88" s="98"/>
      <c r="D88" s="99"/>
      <c r="E88" s="80" t="s">
        <v>70</v>
      </c>
      <c r="F88" s="62" t="s">
        <v>4</v>
      </c>
      <c r="G88" s="68">
        <v>94</v>
      </c>
      <c r="H88" s="277">
        <f t="shared" si="5"/>
        <v>0</v>
      </c>
      <c r="I88" s="325">
        <f t="shared" si="8"/>
        <v>0</v>
      </c>
    </row>
    <row r="89" spans="2:9" ht="22.8">
      <c r="B89" s="474" t="s">
        <v>310</v>
      </c>
      <c r="C89" s="98"/>
      <c r="D89" s="98"/>
      <c r="E89" s="139" t="s">
        <v>142</v>
      </c>
      <c r="F89" s="62" t="s">
        <v>4</v>
      </c>
      <c r="G89" s="68">
        <v>21</v>
      </c>
      <c r="H89" s="277">
        <f t="shared" si="5"/>
        <v>0</v>
      </c>
      <c r="I89" s="325">
        <f t="shared" si="8"/>
        <v>0</v>
      </c>
    </row>
    <row r="90" spans="2:9" ht="13.2">
      <c r="B90" s="473" t="s">
        <v>311</v>
      </c>
      <c r="C90" s="60" t="s">
        <v>195</v>
      </c>
      <c r="D90" s="60"/>
      <c r="E90" s="90" t="s">
        <v>71</v>
      </c>
      <c r="F90" s="140" t="s">
        <v>13</v>
      </c>
      <c r="G90" s="140" t="s">
        <v>13</v>
      </c>
      <c r="H90" s="277" t="s">
        <v>13</v>
      </c>
      <c r="I90" s="269" t="s">
        <v>13</v>
      </c>
    </row>
    <row r="91" spans="2:9" ht="45.6">
      <c r="B91" s="474" t="s">
        <v>312</v>
      </c>
      <c r="C91" s="66"/>
      <c r="D91" s="66"/>
      <c r="E91" s="141" t="s">
        <v>127</v>
      </c>
      <c r="F91" s="137" t="s">
        <v>16</v>
      </c>
      <c r="G91" s="68">
        <v>498</v>
      </c>
      <c r="H91" s="277">
        <f t="shared" si="5"/>
        <v>0</v>
      </c>
      <c r="I91" s="325">
        <f t="shared" ref="I91:I92" si="9">ROUND($G91*H91,2)</f>
        <v>0</v>
      </c>
    </row>
    <row r="92" spans="2:9" ht="45.6">
      <c r="B92" s="474" t="s">
        <v>313</v>
      </c>
      <c r="C92" s="83"/>
      <c r="D92" s="83"/>
      <c r="E92" s="67" t="s">
        <v>125</v>
      </c>
      <c r="F92" s="81" t="s">
        <v>16</v>
      </c>
      <c r="G92" s="68">
        <v>102.5</v>
      </c>
      <c r="H92" s="277">
        <f t="shared" si="5"/>
        <v>0</v>
      </c>
      <c r="I92" s="325">
        <f t="shared" si="9"/>
        <v>0</v>
      </c>
    </row>
    <row r="93" spans="2:9" ht="13.2">
      <c r="B93" s="473" t="s">
        <v>314</v>
      </c>
      <c r="C93" s="60" t="s">
        <v>170</v>
      </c>
      <c r="D93" s="60"/>
      <c r="E93" s="61" t="s">
        <v>72</v>
      </c>
      <c r="F93" s="81" t="s">
        <v>13</v>
      </c>
      <c r="G93" s="143" t="s">
        <v>13</v>
      </c>
      <c r="H93" s="277" t="s">
        <v>13</v>
      </c>
      <c r="I93" s="269" t="s">
        <v>13</v>
      </c>
    </row>
    <row r="94" spans="2:9" ht="34.200000000000003">
      <c r="B94" s="474" t="s">
        <v>315</v>
      </c>
      <c r="C94" s="83"/>
      <c r="D94" s="83"/>
      <c r="E94" s="144" t="s">
        <v>148</v>
      </c>
      <c r="F94" s="81" t="s">
        <v>4</v>
      </c>
      <c r="G94" s="68">
        <v>36.119999999999997</v>
      </c>
      <c r="H94" s="277">
        <f t="shared" si="5"/>
        <v>0</v>
      </c>
      <c r="I94" s="325">
        <f>ROUND($G94*H94,2)</f>
        <v>0</v>
      </c>
    </row>
    <row r="95" spans="2:9" ht="22.8">
      <c r="B95" s="473" t="s">
        <v>316</v>
      </c>
      <c r="C95" s="60" t="s">
        <v>196</v>
      </c>
      <c r="D95" s="60"/>
      <c r="E95" s="145" t="s">
        <v>131</v>
      </c>
      <c r="F95" s="146" t="s">
        <v>13</v>
      </c>
      <c r="G95" s="146" t="s">
        <v>13</v>
      </c>
      <c r="H95" s="277" t="s">
        <v>13</v>
      </c>
      <c r="I95" s="269" t="s">
        <v>13</v>
      </c>
    </row>
    <row r="96" spans="2:9" ht="34.200000000000003">
      <c r="B96" s="474" t="s">
        <v>317</v>
      </c>
      <c r="C96" s="66"/>
      <c r="D96" s="66"/>
      <c r="E96" s="261" t="s">
        <v>206</v>
      </c>
      <c r="F96" s="146" t="s">
        <v>4</v>
      </c>
      <c r="G96" s="68">
        <v>17</v>
      </c>
      <c r="H96" s="277">
        <f t="shared" si="5"/>
        <v>0</v>
      </c>
      <c r="I96" s="325">
        <f t="shared" ref="I96:I98" si="10">ROUND($G96*H96,2)</f>
        <v>0</v>
      </c>
    </row>
    <row r="97" spans="2:9" ht="22.8">
      <c r="B97" s="474" t="s">
        <v>318</v>
      </c>
      <c r="C97" s="66"/>
      <c r="D97" s="66"/>
      <c r="E97" s="261" t="s">
        <v>147</v>
      </c>
      <c r="F97" s="146" t="s">
        <v>4</v>
      </c>
      <c r="G97" s="68">
        <v>9</v>
      </c>
      <c r="H97" s="277">
        <f t="shared" si="5"/>
        <v>0</v>
      </c>
      <c r="I97" s="325">
        <f t="shared" si="10"/>
        <v>0</v>
      </c>
    </row>
    <row r="98" spans="2:9" ht="22.8">
      <c r="B98" s="474" t="s">
        <v>319</v>
      </c>
      <c r="C98" s="66"/>
      <c r="D98" s="66"/>
      <c r="E98" s="261" t="s">
        <v>703</v>
      </c>
      <c r="F98" s="146" t="s">
        <v>4</v>
      </c>
      <c r="G98" s="68">
        <v>14</v>
      </c>
      <c r="H98" s="277">
        <f t="shared" si="5"/>
        <v>0</v>
      </c>
      <c r="I98" s="325">
        <f t="shared" si="10"/>
        <v>0</v>
      </c>
    </row>
    <row r="99" spans="2:9" ht="22.8">
      <c r="B99" s="474" t="s">
        <v>504</v>
      </c>
      <c r="C99" s="66"/>
      <c r="D99" s="66"/>
      <c r="E99" s="261" t="s">
        <v>704</v>
      </c>
      <c r="F99" s="146" t="s">
        <v>76</v>
      </c>
      <c r="G99" s="68">
        <v>36</v>
      </c>
      <c r="H99" s="277">
        <f t="shared" si="5"/>
        <v>0</v>
      </c>
      <c r="I99" s="325">
        <f>ROUND($G99*H99,2)</f>
        <v>0</v>
      </c>
    </row>
    <row r="100" spans="2:9" ht="13.2">
      <c r="B100" s="473" t="s">
        <v>320</v>
      </c>
      <c r="C100" s="74" t="s">
        <v>197</v>
      </c>
      <c r="D100" s="74"/>
      <c r="E100" s="148" t="s">
        <v>73</v>
      </c>
      <c r="F100" s="81" t="s">
        <v>13</v>
      </c>
      <c r="G100" s="81" t="s">
        <v>13</v>
      </c>
      <c r="H100" s="277" t="s">
        <v>13</v>
      </c>
      <c r="I100" s="269" t="s">
        <v>13</v>
      </c>
    </row>
    <row r="101" spans="2:9" ht="13.2">
      <c r="B101" s="474" t="s">
        <v>321</v>
      </c>
      <c r="C101" s="98"/>
      <c r="D101" s="98"/>
      <c r="E101" s="149" t="s">
        <v>74</v>
      </c>
      <c r="F101" s="136" t="s">
        <v>3</v>
      </c>
      <c r="G101" s="117">
        <v>2</v>
      </c>
      <c r="H101" s="277">
        <f t="shared" si="5"/>
        <v>0</v>
      </c>
      <c r="I101" s="325">
        <f t="shared" ref="I101:I102" si="11">ROUND($G101*H101,2)</f>
        <v>0</v>
      </c>
    </row>
    <row r="102" spans="2:9" ht="22.8">
      <c r="B102" s="474" t="s">
        <v>322</v>
      </c>
      <c r="C102" s="101"/>
      <c r="D102" s="101"/>
      <c r="E102" s="150" t="s">
        <v>128</v>
      </c>
      <c r="F102" s="151" t="s">
        <v>3</v>
      </c>
      <c r="G102" s="117">
        <v>35</v>
      </c>
      <c r="H102" s="277">
        <f t="shared" si="5"/>
        <v>0</v>
      </c>
      <c r="I102" s="325">
        <f t="shared" si="11"/>
        <v>0</v>
      </c>
    </row>
    <row r="103" spans="2:9" ht="13.2">
      <c r="B103" s="473" t="s">
        <v>323</v>
      </c>
      <c r="C103" s="60" t="s">
        <v>198</v>
      </c>
      <c r="D103" s="60"/>
      <c r="E103" s="152" t="s">
        <v>75</v>
      </c>
      <c r="F103" s="153" t="s">
        <v>13</v>
      </c>
      <c r="G103" s="153" t="s">
        <v>13</v>
      </c>
      <c r="H103" s="277" t="s">
        <v>13</v>
      </c>
      <c r="I103" s="269" t="s">
        <v>13</v>
      </c>
    </row>
    <row r="104" spans="2:9" ht="13.2">
      <c r="B104" s="474" t="s">
        <v>324</v>
      </c>
      <c r="C104" s="83"/>
      <c r="D104" s="83"/>
      <c r="E104" s="144" t="s">
        <v>164</v>
      </c>
      <c r="F104" s="128" t="s">
        <v>16</v>
      </c>
      <c r="G104" s="68">
        <v>137</v>
      </c>
      <c r="H104" s="277">
        <f t="shared" si="5"/>
        <v>0</v>
      </c>
      <c r="I104" s="325">
        <f>ROUND($G104*H104,2)</f>
        <v>0</v>
      </c>
    </row>
    <row r="105" spans="2:9" ht="13.2">
      <c r="B105" s="473" t="s">
        <v>325</v>
      </c>
      <c r="C105" s="191" t="s">
        <v>428</v>
      </c>
      <c r="D105" s="191"/>
      <c r="E105" s="177" t="s">
        <v>429</v>
      </c>
      <c r="F105" s="153" t="s">
        <v>13</v>
      </c>
      <c r="G105" s="153" t="s">
        <v>13</v>
      </c>
      <c r="H105" s="277" t="s">
        <v>13</v>
      </c>
      <c r="I105" s="269" t="s">
        <v>13</v>
      </c>
    </row>
    <row r="106" spans="2:9" ht="13.2">
      <c r="B106" s="476" t="s">
        <v>326</v>
      </c>
      <c r="C106" s="219"/>
      <c r="D106" s="219"/>
      <c r="E106" s="178" t="s">
        <v>705</v>
      </c>
      <c r="F106" s="146" t="s">
        <v>4</v>
      </c>
      <c r="G106" s="68">
        <v>9.6</v>
      </c>
      <c r="H106" s="277">
        <f t="shared" si="5"/>
        <v>0</v>
      </c>
      <c r="I106" s="325">
        <f t="shared" ref="I106:I107" si="12">ROUND($G106*H106,2)</f>
        <v>0</v>
      </c>
    </row>
    <row r="107" spans="2:9" ht="13.2">
      <c r="B107" s="476" t="s">
        <v>327</v>
      </c>
      <c r="C107" s="219"/>
      <c r="D107" s="219"/>
      <c r="E107" s="178" t="s">
        <v>431</v>
      </c>
      <c r="F107" s="146" t="s">
        <v>3</v>
      </c>
      <c r="G107" s="68">
        <v>6</v>
      </c>
      <c r="H107" s="277">
        <f t="shared" si="5"/>
        <v>0</v>
      </c>
      <c r="I107" s="325">
        <f t="shared" si="12"/>
        <v>0</v>
      </c>
    </row>
    <row r="108" spans="2:9" ht="13.2">
      <c r="B108" s="473" t="s">
        <v>361</v>
      </c>
      <c r="C108" s="60" t="s">
        <v>199</v>
      </c>
      <c r="D108" s="60"/>
      <c r="E108" s="152" t="s">
        <v>110</v>
      </c>
      <c r="F108" s="151" t="s">
        <v>13</v>
      </c>
      <c r="G108" s="154" t="s">
        <v>13</v>
      </c>
      <c r="H108" s="277" t="s">
        <v>13</v>
      </c>
      <c r="I108" s="269" t="s">
        <v>13</v>
      </c>
    </row>
    <row r="109" spans="2:9" ht="22.8">
      <c r="B109" s="476" t="s">
        <v>328</v>
      </c>
      <c r="C109" s="66"/>
      <c r="D109" s="82"/>
      <c r="E109" s="155" t="s">
        <v>126</v>
      </c>
      <c r="F109" s="81" t="s">
        <v>16</v>
      </c>
      <c r="G109" s="68">
        <v>275.54000000000002</v>
      </c>
      <c r="H109" s="277">
        <f t="shared" si="5"/>
        <v>0</v>
      </c>
      <c r="I109" s="325">
        <f t="shared" ref="I109" si="13">ROUND($G109*H109,2)</f>
        <v>0</v>
      </c>
    </row>
    <row r="110" spans="2:9" ht="13.2">
      <c r="B110" s="475"/>
      <c r="C110" s="12"/>
      <c r="D110" s="25"/>
      <c r="E110" s="14" t="s">
        <v>77</v>
      </c>
      <c r="F110" s="13"/>
      <c r="G110" s="96">
        <v>21</v>
      </c>
      <c r="H110" s="329" t="s">
        <v>13</v>
      </c>
      <c r="I110" s="269" t="s">
        <v>13</v>
      </c>
    </row>
    <row r="111" spans="2:9" ht="13.8">
      <c r="B111" s="473"/>
      <c r="C111" s="562" t="s">
        <v>332</v>
      </c>
      <c r="D111" s="562"/>
      <c r="E111" s="562"/>
      <c r="F111" s="7"/>
      <c r="G111" s="195">
        <v>70</v>
      </c>
      <c r="H111" s="48" t="s">
        <v>13</v>
      </c>
      <c r="I111" s="330">
        <f>SUM(I4:I109)</f>
        <v>0</v>
      </c>
    </row>
    <row r="112" spans="2:9" ht="31.8" customHeight="1">
      <c r="B112" s="582" t="s">
        <v>706</v>
      </c>
      <c r="C112" s="582"/>
      <c r="D112" s="582"/>
      <c r="E112" s="582"/>
      <c r="F112" s="582"/>
      <c r="G112" s="582"/>
      <c r="H112" s="582"/>
      <c r="I112" s="582"/>
    </row>
    <row r="113" spans="1:12">
      <c r="B113" s="583" t="s">
        <v>707</v>
      </c>
      <c r="C113" s="584" t="s">
        <v>708</v>
      </c>
      <c r="D113" s="582" t="s">
        <v>709</v>
      </c>
      <c r="E113" s="582" t="s">
        <v>710</v>
      </c>
      <c r="F113" s="582" t="s">
        <v>204</v>
      </c>
      <c r="G113" s="585" t="s">
        <v>1</v>
      </c>
      <c r="H113" s="586" t="s">
        <v>711</v>
      </c>
      <c r="I113" s="586" t="s">
        <v>712</v>
      </c>
    </row>
    <row r="114" spans="1:12">
      <c r="B114" s="583"/>
      <c r="C114" s="584"/>
      <c r="D114" s="582"/>
      <c r="E114" s="582"/>
      <c r="F114" s="582"/>
      <c r="G114" s="585"/>
      <c r="H114" s="586"/>
      <c r="I114" s="586"/>
    </row>
    <row r="115" spans="1:12" ht="12">
      <c r="B115" s="332" t="s">
        <v>713</v>
      </c>
      <c r="C115" s="333" t="s">
        <v>714</v>
      </c>
      <c r="D115" s="333">
        <v>3</v>
      </c>
      <c r="E115" s="333">
        <v>4</v>
      </c>
      <c r="F115" s="333">
        <v>5</v>
      </c>
      <c r="G115" s="334">
        <v>6</v>
      </c>
      <c r="H115" s="335">
        <v>7</v>
      </c>
      <c r="I115" s="335">
        <v>8</v>
      </c>
    </row>
    <row r="116" spans="1:12" s="440" customFormat="1" ht="24">
      <c r="A116" s="450"/>
      <c r="B116" s="477"/>
      <c r="C116" s="451"/>
      <c r="D116" s="452" t="s">
        <v>171</v>
      </c>
      <c r="E116" s="453" t="s">
        <v>14</v>
      </c>
      <c r="F116" s="452"/>
      <c r="G116" s="452"/>
      <c r="H116" s="452"/>
      <c r="I116" s="452"/>
      <c r="L116" s="448"/>
    </row>
    <row r="117" spans="1:12" ht="13.2">
      <c r="B117" s="478" t="s">
        <v>713</v>
      </c>
      <c r="C117" s="577" t="s">
        <v>715</v>
      </c>
      <c r="D117" s="578"/>
      <c r="E117" s="337" t="s">
        <v>437</v>
      </c>
      <c r="F117" s="336"/>
      <c r="G117" s="338"/>
      <c r="H117" s="338"/>
      <c r="I117" s="338"/>
    </row>
    <row r="118" spans="1:12" s="440" customFormat="1" ht="24">
      <c r="A118" s="450"/>
      <c r="B118" s="477"/>
      <c r="C118" s="451"/>
      <c r="D118" s="452" t="s">
        <v>173</v>
      </c>
      <c r="E118" s="453" t="s">
        <v>716</v>
      </c>
      <c r="F118" s="452"/>
      <c r="G118" s="454"/>
      <c r="H118" s="454"/>
      <c r="I118" s="454"/>
      <c r="L118" s="448"/>
    </row>
    <row r="119" spans="1:12" ht="24">
      <c r="B119" s="478" t="s">
        <v>717</v>
      </c>
      <c r="C119" s="577" t="s">
        <v>718</v>
      </c>
      <c r="D119" s="578"/>
      <c r="E119" s="337" t="s">
        <v>241</v>
      </c>
      <c r="F119" s="336"/>
      <c r="G119" s="338"/>
      <c r="H119" s="338"/>
      <c r="I119" s="338"/>
    </row>
    <row r="120" spans="1:12" ht="24">
      <c r="B120" s="479" t="s">
        <v>719</v>
      </c>
      <c r="C120" s="339"/>
      <c r="D120" s="336" t="s">
        <v>173</v>
      </c>
      <c r="E120" s="337" t="s">
        <v>720</v>
      </c>
      <c r="F120" s="336"/>
      <c r="G120" s="340"/>
      <c r="H120" s="340"/>
      <c r="I120" s="340"/>
    </row>
    <row r="121" spans="1:12" ht="13.2">
      <c r="B121" s="480" t="s">
        <v>721</v>
      </c>
      <c r="C121" s="341" t="s">
        <v>722</v>
      </c>
      <c r="D121" s="342"/>
      <c r="E121" s="343" t="s">
        <v>723</v>
      </c>
      <c r="F121" s="344" t="s">
        <v>23</v>
      </c>
      <c r="G121" s="345">
        <v>4605.4399999999996</v>
      </c>
      <c r="H121" s="277">
        <f>L121*$K$5</f>
        <v>0</v>
      </c>
      <c r="I121" s="325">
        <f>ROUND(G121*H121,2)</f>
        <v>0</v>
      </c>
    </row>
    <row r="122" spans="1:12" ht="13.2">
      <c r="B122" s="480" t="s">
        <v>724</v>
      </c>
      <c r="C122" s="341" t="s">
        <v>722</v>
      </c>
      <c r="D122" s="342"/>
      <c r="E122" s="343" t="s">
        <v>725</v>
      </c>
      <c r="F122" s="344" t="s">
        <v>23</v>
      </c>
      <c r="G122" s="345">
        <v>2912.56</v>
      </c>
      <c r="H122" s="277">
        <f t="shared" ref="H122:H162" si="14">L122*$K$5</f>
        <v>0</v>
      </c>
      <c r="I122" s="325">
        <f t="shared" ref="I122:I123" si="15">ROUND(G122*H122,2)</f>
        <v>0</v>
      </c>
    </row>
    <row r="123" spans="1:12" ht="13.2">
      <c r="B123" s="480" t="s">
        <v>726</v>
      </c>
      <c r="C123" s="341" t="s">
        <v>722</v>
      </c>
      <c r="D123" s="342"/>
      <c r="E123" s="343" t="s">
        <v>727</v>
      </c>
      <c r="F123" s="344" t="s">
        <v>23</v>
      </c>
      <c r="G123" s="345">
        <f>8.38*10.93*27</f>
        <v>2473.02</v>
      </c>
      <c r="H123" s="324">
        <f t="shared" si="14"/>
        <v>0</v>
      </c>
      <c r="I123" s="325">
        <f t="shared" si="15"/>
        <v>0</v>
      </c>
    </row>
    <row r="124" spans="1:12" s="440" customFormat="1" ht="13.2">
      <c r="A124" s="450"/>
      <c r="B124" s="477"/>
      <c r="C124" s="451"/>
      <c r="D124" s="455" t="s">
        <v>174</v>
      </c>
      <c r="E124" s="453" t="s">
        <v>27</v>
      </c>
      <c r="F124" s="452"/>
      <c r="G124" s="454"/>
      <c r="H124" s="382"/>
      <c r="I124" s="454"/>
      <c r="L124" s="448"/>
    </row>
    <row r="125" spans="1:12" s="440" customFormat="1" ht="24">
      <c r="A125" s="450"/>
      <c r="B125" s="478" t="s">
        <v>728</v>
      </c>
      <c r="C125" s="575" t="s">
        <v>718</v>
      </c>
      <c r="D125" s="576"/>
      <c r="E125" s="453" t="s">
        <v>241</v>
      </c>
      <c r="F125" s="452"/>
      <c r="G125" s="454"/>
      <c r="H125" s="382"/>
      <c r="I125" s="454"/>
      <c r="L125" s="448"/>
    </row>
    <row r="126" spans="1:12" s="440" customFormat="1" ht="24">
      <c r="A126" s="450"/>
      <c r="B126" s="479" t="s">
        <v>729</v>
      </c>
      <c r="C126" s="456"/>
      <c r="D126" s="458" t="s">
        <v>179</v>
      </c>
      <c r="E126" s="453" t="s">
        <v>730</v>
      </c>
      <c r="F126" s="452"/>
      <c r="G126" s="454"/>
      <c r="H126" s="382"/>
      <c r="I126" s="454"/>
      <c r="L126" s="448"/>
    </row>
    <row r="127" spans="1:12" ht="22.8">
      <c r="B127" s="480" t="s">
        <v>731</v>
      </c>
      <c r="C127" s="346" t="s">
        <v>732</v>
      </c>
      <c r="D127" s="170"/>
      <c r="E127" s="343" t="s">
        <v>733</v>
      </c>
      <c r="F127" s="344" t="s">
        <v>363</v>
      </c>
      <c r="G127" s="347">
        <f>50.16+83.61</f>
        <v>133.77000000000001</v>
      </c>
      <c r="H127" s="327">
        <f t="shared" si="14"/>
        <v>0</v>
      </c>
      <c r="I127" s="325">
        <f t="shared" ref="I127" si="16">ROUND(G127*H127,2)</f>
        <v>0</v>
      </c>
    </row>
    <row r="128" spans="1:12" ht="24">
      <c r="B128" s="479" t="s">
        <v>734</v>
      </c>
      <c r="C128" s="348"/>
      <c r="D128" s="349" t="s">
        <v>735</v>
      </c>
      <c r="E128" s="350" t="s">
        <v>736</v>
      </c>
      <c r="F128" s="351"/>
      <c r="G128" s="342"/>
      <c r="H128"/>
      <c r="I128" s="342"/>
    </row>
    <row r="129" spans="1:12" ht="34.200000000000003">
      <c r="B129" s="480" t="s">
        <v>737</v>
      </c>
      <c r="C129" s="341" t="s">
        <v>738</v>
      </c>
      <c r="D129" s="352"/>
      <c r="E129" s="343" t="s">
        <v>739</v>
      </c>
      <c r="F129" s="344" t="s">
        <v>363</v>
      </c>
      <c r="G129" s="353">
        <f>0.6*27</f>
        <v>16.2</v>
      </c>
      <c r="H129" s="277">
        <f t="shared" si="14"/>
        <v>0</v>
      </c>
      <c r="I129" s="325">
        <f t="shared" ref="I129" si="17">ROUND(G129*H129,2)</f>
        <v>0</v>
      </c>
    </row>
    <row r="130" spans="1:12" ht="24">
      <c r="B130" s="479" t="s">
        <v>740</v>
      </c>
      <c r="C130" s="348"/>
      <c r="D130" s="349" t="s">
        <v>741</v>
      </c>
      <c r="E130" s="350" t="s">
        <v>139</v>
      </c>
      <c r="F130" s="351"/>
      <c r="G130" s="342"/>
      <c r="H130"/>
      <c r="I130" s="342"/>
    </row>
    <row r="131" spans="1:12" ht="22.8">
      <c r="B131" s="480" t="s">
        <v>742</v>
      </c>
      <c r="C131" s="341" t="s">
        <v>743</v>
      </c>
      <c r="D131" s="352"/>
      <c r="E131" s="343" t="s">
        <v>744</v>
      </c>
      <c r="F131" s="344" t="s">
        <v>363</v>
      </c>
      <c r="G131" s="353">
        <f>0.31*27+1.94*4.4</f>
        <v>16.91</v>
      </c>
      <c r="H131" s="324">
        <f t="shared" si="14"/>
        <v>0</v>
      </c>
      <c r="I131" s="325">
        <f t="shared" ref="I131" si="18">ROUND(G131*H131,2)</f>
        <v>0</v>
      </c>
    </row>
    <row r="132" spans="1:12" s="440" customFormat="1" ht="24">
      <c r="A132" s="450"/>
      <c r="B132" s="477"/>
      <c r="C132" s="451"/>
      <c r="D132" s="452" t="s">
        <v>201</v>
      </c>
      <c r="E132" s="453" t="s">
        <v>380</v>
      </c>
      <c r="F132" s="452"/>
      <c r="G132" s="454"/>
      <c r="H132" s="382"/>
      <c r="I132" s="454"/>
      <c r="L132" s="448"/>
    </row>
    <row r="133" spans="1:12" s="440" customFormat="1" ht="24">
      <c r="A133" s="450"/>
      <c r="B133" s="478" t="s">
        <v>745</v>
      </c>
      <c r="C133" s="575" t="s">
        <v>718</v>
      </c>
      <c r="D133" s="576"/>
      <c r="E133" s="453" t="s">
        <v>241</v>
      </c>
      <c r="F133" s="452"/>
      <c r="G133" s="454"/>
      <c r="H133" s="382"/>
      <c r="I133" s="454"/>
      <c r="L133" s="448"/>
    </row>
    <row r="134" spans="1:12" s="440" customFormat="1" ht="24">
      <c r="A134" s="450"/>
      <c r="B134" s="479" t="s">
        <v>746</v>
      </c>
      <c r="C134" s="456"/>
      <c r="D134" s="452" t="s">
        <v>168</v>
      </c>
      <c r="E134" s="453" t="s">
        <v>155</v>
      </c>
      <c r="F134" s="452"/>
      <c r="G134" s="454"/>
      <c r="H134" s="382"/>
      <c r="I134" s="454"/>
      <c r="L134" s="448"/>
    </row>
    <row r="135" spans="1:12" ht="13.2">
      <c r="B135" s="480" t="s">
        <v>747</v>
      </c>
      <c r="C135" s="341" t="s">
        <v>748</v>
      </c>
      <c r="D135" s="342"/>
      <c r="E135" s="343" t="s">
        <v>749</v>
      </c>
      <c r="F135" s="344" t="s">
        <v>580</v>
      </c>
      <c r="G135" s="353">
        <f>(10.518*8+11.93*2+10.39*2+2.2*4.51*4+17*3.1)</f>
        <v>221.17</v>
      </c>
      <c r="H135" s="327">
        <f t="shared" si="14"/>
        <v>0</v>
      </c>
      <c r="I135" s="325">
        <f t="shared" ref="I135" si="19">ROUND(G135*H135,2)</f>
        <v>0</v>
      </c>
    </row>
    <row r="136" spans="1:12" ht="24">
      <c r="B136" s="479" t="s">
        <v>750</v>
      </c>
      <c r="C136" s="339"/>
      <c r="D136" s="336" t="s">
        <v>751</v>
      </c>
      <c r="E136" s="337" t="s">
        <v>752</v>
      </c>
      <c r="F136" s="336"/>
      <c r="G136" s="338"/>
      <c r="H136"/>
      <c r="I136" s="338"/>
    </row>
    <row r="137" spans="1:12" ht="34.200000000000003">
      <c r="B137" s="480" t="s">
        <v>753</v>
      </c>
      <c r="C137" s="341" t="s">
        <v>754</v>
      </c>
      <c r="D137" s="342"/>
      <c r="E137" s="343" t="s">
        <v>755</v>
      </c>
      <c r="F137" s="344" t="s">
        <v>580</v>
      </c>
      <c r="G137" s="353">
        <f>(10.518*8+11.93*2+10.39*2+2.2*4.51*4+17*3.1)</f>
        <v>221.17</v>
      </c>
      <c r="H137" s="277">
        <f t="shared" si="14"/>
        <v>0</v>
      </c>
      <c r="I137" s="325">
        <f t="shared" ref="I137" si="20">ROUND(G137*H137,2)</f>
        <v>0</v>
      </c>
    </row>
    <row r="138" spans="1:12" s="440" customFormat="1" ht="24">
      <c r="A138" s="450"/>
      <c r="B138" s="479" t="s">
        <v>756</v>
      </c>
      <c r="C138" s="456"/>
      <c r="D138" s="452" t="s">
        <v>183</v>
      </c>
      <c r="E138" s="453" t="s">
        <v>54</v>
      </c>
      <c r="F138" s="452"/>
      <c r="G138" s="454"/>
      <c r="H138" s="389"/>
      <c r="I138" s="454"/>
      <c r="L138" s="448"/>
    </row>
    <row r="139" spans="1:12" ht="22.8">
      <c r="B139" s="480" t="s">
        <v>757</v>
      </c>
      <c r="C139" s="354" t="s">
        <v>758</v>
      </c>
      <c r="D139" s="338"/>
      <c r="E139" s="355" t="s">
        <v>759</v>
      </c>
      <c r="F139" s="356" t="s">
        <v>15</v>
      </c>
      <c r="G139" s="357">
        <v>11.36</v>
      </c>
      <c r="H139" s="324">
        <f t="shared" si="14"/>
        <v>0</v>
      </c>
      <c r="I139" s="325">
        <f t="shared" ref="I139" si="21">ROUND(G139*H139,2)</f>
        <v>0</v>
      </c>
    </row>
    <row r="140" spans="1:12" s="440" customFormat="1" ht="24">
      <c r="A140" s="450"/>
      <c r="B140" s="477"/>
      <c r="C140" s="451"/>
      <c r="D140" s="452" t="s">
        <v>190</v>
      </c>
      <c r="E140" s="453" t="s">
        <v>62</v>
      </c>
      <c r="F140" s="452"/>
      <c r="G140" s="454"/>
      <c r="H140" s="382"/>
      <c r="I140" s="454"/>
      <c r="L140" s="448"/>
    </row>
    <row r="141" spans="1:12" s="440" customFormat="1" ht="24">
      <c r="A141" s="450"/>
      <c r="B141" s="478" t="s">
        <v>760</v>
      </c>
      <c r="C141" s="575" t="s">
        <v>718</v>
      </c>
      <c r="D141" s="576"/>
      <c r="E141" s="453" t="s">
        <v>241</v>
      </c>
      <c r="F141" s="452"/>
      <c r="G141" s="454"/>
      <c r="H141" s="382"/>
      <c r="I141" s="454"/>
      <c r="L141" s="448"/>
    </row>
    <row r="142" spans="1:12" s="440" customFormat="1" ht="36">
      <c r="A142" s="450"/>
      <c r="B142" s="479" t="s">
        <v>761</v>
      </c>
      <c r="C142" s="456"/>
      <c r="D142" s="452" t="s">
        <v>191</v>
      </c>
      <c r="E142" s="453" t="s">
        <v>762</v>
      </c>
      <c r="F142" s="452"/>
      <c r="G142" s="454"/>
      <c r="H142" s="382"/>
      <c r="I142" s="454"/>
      <c r="L142" s="448"/>
    </row>
    <row r="143" spans="1:12" ht="22.8">
      <c r="B143" s="480" t="s">
        <v>763</v>
      </c>
      <c r="C143" s="354" t="s">
        <v>764</v>
      </c>
      <c r="D143" s="338"/>
      <c r="E143" s="355" t="s">
        <v>765</v>
      </c>
      <c r="F143" s="356" t="s">
        <v>4</v>
      </c>
      <c r="G143" s="353">
        <v>9.8800000000000008</v>
      </c>
      <c r="H143" s="358">
        <f t="shared" si="14"/>
        <v>0</v>
      </c>
      <c r="I143" s="325">
        <f t="shared" ref="I143" si="22">ROUND(G143*H143,2)</f>
        <v>0</v>
      </c>
    </row>
    <row r="144" spans="1:12" s="440" customFormat="1" ht="24">
      <c r="A144" s="450"/>
      <c r="B144" s="477"/>
      <c r="C144" s="451"/>
      <c r="D144" s="452" t="s">
        <v>192</v>
      </c>
      <c r="E144" s="453" t="s">
        <v>64</v>
      </c>
      <c r="F144" s="452"/>
      <c r="G144" s="454"/>
      <c r="H144" s="382"/>
      <c r="I144" s="454"/>
      <c r="L144" s="448"/>
    </row>
    <row r="145" spans="1:12" s="440" customFormat="1" ht="24">
      <c r="A145" s="450"/>
      <c r="B145" s="478" t="s">
        <v>766</v>
      </c>
      <c r="C145" s="575" t="s">
        <v>718</v>
      </c>
      <c r="D145" s="576"/>
      <c r="E145" s="453" t="s">
        <v>241</v>
      </c>
      <c r="F145" s="452"/>
      <c r="G145" s="454"/>
      <c r="H145" s="382"/>
      <c r="I145" s="454"/>
      <c r="L145" s="448"/>
    </row>
    <row r="146" spans="1:12" s="440" customFormat="1" ht="24">
      <c r="A146" s="450"/>
      <c r="B146" s="479" t="s">
        <v>767</v>
      </c>
      <c r="C146" s="456"/>
      <c r="D146" s="452" t="s">
        <v>768</v>
      </c>
      <c r="E146" s="453" t="s">
        <v>769</v>
      </c>
      <c r="F146" s="452"/>
      <c r="G146" s="454"/>
      <c r="H146" s="382"/>
      <c r="I146" s="454"/>
      <c r="L146" s="448"/>
    </row>
    <row r="147" spans="1:12" ht="34.200000000000003">
      <c r="B147" s="480" t="s">
        <v>770</v>
      </c>
      <c r="C147" s="354" t="s">
        <v>771</v>
      </c>
      <c r="D147" s="338"/>
      <c r="E147" s="355" t="s">
        <v>772</v>
      </c>
      <c r="F147" s="356" t="s">
        <v>15</v>
      </c>
      <c r="G147" s="353">
        <f>10.8</f>
        <v>10.8</v>
      </c>
      <c r="H147" s="327">
        <f t="shared" si="14"/>
        <v>0</v>
      </c>
      <c r="I147" s="325">
        <f t="shared" ref="I147" si="23">ROUND(G147*H147,2)</f>
        <v>0</v>
      </c>
    </row>
    <row r="148" spans="1:12" ht="24">
      <c r="B148" s="479" t="s">
        <v>773</v>
      </c>
      <c r="C148" s="348"/>
      <c r="D148" s="351" t="s">
        <v>774</v>
      </c>
      <c r="E148" s="350" t="s">
        <v>71</v>
      </c>
      <c r="F148" s="351"/>
      <c r="G148" s="342"/>
      <c r="H148"/>
      <c r="I148" s="342"/>
    </row>
    <row r="149" spans="1:12" ht="22.8">
      <c r="B149" s="480" t="s">
        <v>775</v>
      </c>
      <c r="C149" s="341" t="s">
        <v>776</v>
      </c>
      <c r="D149" s="342"/>
      <c r="E149" s="343" t="s">
        <v>777</v>
      </c>
      <c r="F149" s="344" t="s">
        <v>580</v>
      </c>
      <c r="G149" s="353">
        <f>36.64*7.64+44.03*3.1+(0.716*2+6.68*2+6.016)+(0.5*2+6.497*2+5.776)</f>
        <v>457</v>
      </c>
      <c r="H149" s="277">
        <f t="shared" si="14"/>
        <v>0</v>
      </c>
      <c r="I149" s="325">
        <f t="shared" ref="I149" si="24">ROUND(G149*H149,2)</f>
        <v>0</v>
      </c>
    </row>
    <row r="150" spans="1:12" s="440" customFormat="1" ht="36.6" customHeight="1">
      <c r="A150" s="450"/>
      <c r="B150" s="479" t="s">
        <v>778</v>
      </c>
      <c r="C150" s="456"/>
      <c r="D150" s="452" t="s">
        <v>779</v>
      </c>
      <c r="E150" s="453" t="s">
        <v>72</v>
      </c>
      <c r="F150" s="452"/>
      <c r="G150" s="454"/>
      <c r="H150" s="389"/>
      <c r="I150" s="457"/>
      <c r="L150" s="448"/>
    </row>
    <row r="151" spans="1:12" ht="22.8">
      <c r="B151" s="480" t="s">
        <v>780</v>
      </c>
      <c r="C151" s="354" t="s">
        <v>781</v>
      </c>
      <c r="D151" s="338"/>
      <c r="E151" s="355" t="s">
        <v>782</v>
      </c>
      <c r="F151" s="356" t="s">
        <v>4</v>
      </c>
      <c r="G151" s="353">
        <f>8.98*1.21+9.79*1.21</f>
        <v>22.71</v>
      </c>
      <c r="H151" s="277">
        <f t="shared" si="14"/>
        <v>0</v>
      </c>
      <c r="I151" s="325">
        <f t="shared" ref="I151" si="25">ROUND(G151*H151,2)</f>
        <v>0</v>
      </c>
    </row>
    <row r="152" spans="1:12" s="440" customFormat="1" ht="24">
      <c r="A152" s="450"/>
      <c r="B152" s="479" t="s">
        <v>783</v>
      </c>
      <c r="C152" s="456"/>
      <c r="D152" s="452" t="s">
        <v>784</v>
      </c>
      <c r="E152" s="453" t="s">
        <v>785</v>
      </c>
      <c r="F152" s="452"/>
      <c r="G152" s="454"/>
      <c r="H152" s="389"/>
      <c r="I152" s="454"/>
      <c r="L152" s="448"/>
    </row>
    <row r="153" spans="1:12" ht="22.8">
      <c r="B153" s="480" t="s">
        <v>786</v>
      </c>
      <c r="C153" s="346" t="s">
        <v>787</v>
      </c>
      <c r="D153" s="338"/>
      <c r="E153" s="355" t="s">
        <v>788</v>
      </c>
      <c r="F153" s="356" t="s">
        <v>4</v>
      </c>
      <c r="G153" s="353">
        <f>4*5.6*1.21+5.6*2</f>
        <v>38.299999999999997</v>
      </c>
      <c r="H153" s="277">
        <f t="shared" si="14"/>
        <v>0</v>
      </c>
      <c r="I153" s="325">
        <f t="shared" ref="I153" si="26">ROUND(G153*H153,2)</f>
        <v>0</v>
      </c>
    </row>
    <row r="154" spans="1:12" s="440" customFormat="1" ht="24">
      <c r="A154" s="450"/>
      <c r="B154" s="479" t="s">
        <v>789</v>
      </c>
      <c r="C154" s="456"/>
      <c r="D154" s="452" t="s">
        <v>790</v>
      </c>
      <c r="E154" s="453" t="s">
        <v>791</v>
      </c>
      <c r="F154" s="452"/>
      <c r="G154" s="454"/>
      <c r="H154" s="389"/>
      <c r="I154" s="454"/>
      <c r="L154" s="448"/>
    </row>
    <row r="155" spans="1:12" ht="34.200000000000003">
      <c r="B155" s="480" t="s">
        <v>792</v>
      </c>
      <c r="C155" s="354" t="s">
        <v>793</v>
      </c>
      <c r="D155" s="338"/>
      <c r="E155" s="355" t="s">
        <v>794</v>
      </c>
      <c r="F155" s="356" t="s">
        <v>3</v>
      </c>
      <c r="G155" s="357">
        <v>1</v>
      </c>
      <c r="H155" s="277">
        <f t="shared" si="14"/>
        <v>0</v>
      </c>
      <c r="I155" s="325">
        <f t="shared" ref="I155:I156" si="27">ROUND(G155*H155,2)</f>
        <v>0</v>
      </c>
    </row>
    <row r="156" spans="1:12" ht="34.200000000000003">
      <c r="B156" s="480" t="s">
        <v>795</v>
      </c>
      <c r="C156" s="354" t="s">
        <v>793</v>
      </c>
      <c r="D156" s="338"/>
      <c r="E156" s="355" t="s">
        <v>796</v>
      </c>
      <c r="F156" s="356" t="s">
        <v>3</v>
      </c>
      <c r="G156" s="357">
        <v>6</v>
      </c>
      <c r="H156" s="277">
        <f t="shared" si="14"/>
        <v>0</v>
      </c>
      <c r="I156" s="325">
        <f t="shared" si="27"/>
        <v>0</v>
      </c>
    </row>
    <row r="157" spans="1:12" s="440" customFormat="1" ht="24">
      <c r="A157" s="450"/>
      <c r="B157" s="477"/>
      <c r="C157" s="451"/>
      <c r="D157" s="452" t="s">
        <v>466</v>
      </c>
      <c r="E157" s="453" t="s">
        <v>467</v>
      </c>
      <c r="F157" s="452"/>
      <c r="G157" s="454"/>
      <c r="H157" s="389"/>
      <c r="I157" s="454"/>
      <c r="L157" s="448"/>
    </row>
    <row r="158" spans="1:12" s="440" customFormat="1" ht="24">
      <c r="A158" s="450"/>
      <c r="B158" s="478" t="s">
        <v>797</v>
      </c>
      <c r="C158" s="575" t="s">
        <v>718</v>
      </c>
      <c r="D158" s="576"/>
      <c r="E158" s="453" t="s">
        <v>241</v>
      </c>
      <c r="F158" s="452"/>
      <c r="G158" s="454"/>
      <c r="H158" s="389"/>
      <c r="I158" s="454"/>
      <c r="L158" s="448"/>
    </row>
    <row r="159" spans="1:12" s="440" customFormat="1" ht="24">
      <c r="A159" s="450"/>
      <c r="B159" s="479" t="s">
        <v>798</v>
      </c>
      <c r="C159" s="456"/>
      <c r="D159" s="452" t="s">
        <v>478</v>
      </c>
      <c r="E159" s="453" t="s">
        <v>479</v>
      </c>
      <c r="F159" s="452"/>
      <c r="G159" s="454"/>
      <c r="H159" s="389"/>
      <c r="I159" s="454"/>
      <c r="L159" s="448"/>
    </row>
    <row r="160" spans="1:12" ht="22.8">
      <c r="B160" s="480" t="s">
        <v>799</v>
      </c>
      <c r="C160" s="354" t="s">
        <v>800</v>
      </c>
      <c r="D160" s="338"/>
      <c r="E160" s="355" t="s">
        <v>801</v>
      </c>
      <c r="F160" s="356" t="s">
        <v>17</v>
      </c>
      <c r="G160" s="357">
        <v>0.81</v>
      </c>
      <c r="H160" s="277">
        <f t="shared" si="14"/>
        <v>0</v>
      </c>
      <c r="I160" s="325">
        <f t="shared" ref="I160" si="28">ROUND(G160*H160,2)</f>
        <v>0</v>
      </c>
    </row>
    <row r="161" spans="2:9" ht="24">
      <c r="B161" s="479" t="s">
        <v>802</v>
      </c>
      <c r="C161" s="339"/>
      <c r="D161" s="336" t="s">
        <v>483</v>
      </c>
      <c r="E161" s="337" t="s">
        <v>484</v>
      </c>
      <c r="F161" s="336"/>
      <c r="G161" s="338"/>
      <c r="H161"/>
      <c r="I161" s="338"/>
    </row>
    <row r="162" spans="2:9" ht="22.8">
      <c r="B162" s="480" t="s">
        <v>803</v>
      </c>
      <c r="C162" s="346" t="s">
        <v>804</v>
      </c>
      <c r="D162" s="338"/>
      <c r="E162" s="355" t="s">
        <v>805</v>
      </c>
      <c r="F162" s="356" t="s">
        <v>4</v>
      </c>
      <c r="G162" s="357">
        <v>4.4000000000000004</v>
      </c>
      <c r="H162" s="277">
        <f t="shared" si="14"/>
        <v>0</v>
      </c>
      <c r="I162" s="325">
        <f t="shared" ref="I162" si="29">ROUND(G162*H162,2)</f>
        <v>0</v>
      </c>
    </row>
    <row r="163" spans="2:9" ht="13.2">
      <c r="B163" s="359"/>
      <c r="C163" s="360"/>
      <c r="D163"/>
      <c r="E163"/>
      <c r="F163"/>
      <c r="G163" s="361"/>
      <c r="H163" t="s">
        <v>806</v>
      </c>
      <c r="I163" s="362">
        <f>SUM(I118:I162)</f>
        <v>0</v>
      </c>
    </row>
    <row r="166" spans="2:9" ht="19.2">
      <c r="E166" s="574" t="s">
        <v>807</v>
      </c>
      <c r="F166" s="574"/>
      <c r="G166" s="574"/>
      <c r="H166" s="574"/>
      <c r="I166" s="54">
        <f>I111+I163</f>
        <v>0</v>
      </c>
    </row>
    <row r="167" spans="2:9" ht="21" customHeight="1">
      <c r="E167" s="55"/>
      <c r="F167" s="55"/>
      <c r="G167" s="55"/>
      <c r="H167" s="55"/>
      <c r="I167" s="54"/>
    </row>
    <row r="168" spans="2:9" ht="11.4" customHeight="1"/>
  </sheetData>
  <sheetProtection selectLockedCells="1" selectUnlockedCells="1"/>
  <mergeCells count="20">
    <mergeCell ref="C1:I1"/>
    <mergeCell ref="C2:I2"/>
    <mergeCell ref="C111:E111"/>
    <mergeCell ref="B112:I112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C145:D145"/>
    <mergeCell ref="C158:D158"/>
    <mergeCell ref="E166:H166"/>
    <mergeCell ref="C117:D117"/>
    <mergeCell ref="C119:D119"/>
    <mergeCell ref="C125:D125"/>
    <mergeCell ref="C133:D133"/>
    <mergeCell ref="C141:D141"/>
  </mergeCells>
  <conditionalFormatting sqref="H5 H8:H14 H18:H31 H33:H35 H39:H43 H47:H58 H62:H64 H69:H71 H75:H77 H81:H109">
    <cfRule type="cellIs" dxfId="1" priority="45" stopIfTrue="1" operator="equal">
      <formula>0</formula>
    </cfRule>
  </conditionalFormatting>
  <conditionalFormatting sqref="H121:H123 H127 H129 H131 H135 H137 H139 H143 H147 H149 H151 H153 H155:H156 H160 H162">
    <cfRule type="cellIs" dxfId="0" priority="15" stopIfTrue="1" operator="equal">
      <formula>0</formula>
    </cfRule>
  </conditionalFormatting>
  <pageMargins left="0.59055118110236227" right="0.23622047244094491" top="0.35433070866141736" bottom="0.74803149606299213" header="0.51181102362204722" footer="0.51181102362204722"/>
  <pageSetup paperSize="9" scale="75" firstPageNumber="0" fitToHeight="3" orientation="portrait" r:id="rId1"/>
  <headerFooter alignWithMargins="0"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5</vt:i4>
      </vt:variant>
    </vt:vector>
  </HeadingPairs>
  <TitlesOfParts>
    <vt:vector size="8" baseType="lpstr">
      <vt:lpstr>Str tyt_01</vt:lpstr>
      <vt:lpstr>ODCINEK B</vt:lpstr>
      <vt:lpstr>ODCINEK C</vt:lpstr>
      <vt:lpstr>'ODCINEK B'!Obszar_wydruku</vt:lpstr>
      <vt:lpstr>'ODCINEK C'!Obszar_wydruku</vt:lpstr>
      <vt:lpstr>'Str tyt_01'!Obszar_wydruku</vt:lpstr>
      <vt:lpstr>'ODCINEK B'!Tytuły_wydruku</vt:lpstr>
      <vt:lpstr>'ODCINEK C'!Tytuły_wydruku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Salach</dc:creator>
  <cp:lastModifiedBy>Świderski, Jakub</cp:lastModifiedBy>
  <cp:lastPrinted>2024-11-07T10:50:16Z</cp:lastPrinted>
  <dcterms:created xsi:type="dcterms:W3CDTF">2014-06-03T15:49:30Z</dcterms:created>
  <dcterms:modified xsi:type="dcterms:W3CDTF">2024-11-12T13:01:37Z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Folder_Number">
    <vt:lpwstr/>
  </property>
  <property fmtid="{D5CDD505-2E9C-101B-9397-08002B2CF9AE}" pid="4" name="Folder_Code">
    <vt:lpwstr/>
  </property>
  <property fmtid="{D5CDD505-2E9C-101B-9397-08002B2CF9AE}" pid="5" name="Folder_Name">
    <vt:lpwstr/>
  </property>
  <property fmtid="{D5CDD505-2E9C-101B-9397-08002B2CF9AE}" pid="6" name="Folder_Description">
    <vt:lpwstr/>
  </property>
  <property fmtid="{D5CDD505-2E9C-101B-9397-08002B2CF9AE}" pid="7" name="/Folder_Name/">
    <vt:lpwstr/>
  </property>
  <property fmtid="{D5CDD505-2E9C-101B-9397-08002B2CF9AE}" pid="8" name="/Folder_Description/">
    <vt:lpwstr/>
  </property>
  <property fmtid="{D5CDD505-2E9C-101B-9397-08002B2CF9AE}" pid="9" name="Folder_Version">
    <vt:lpwstr/>
  </property>
  <property fmtid="{D5CDD505-2E9C-101B-9397-08002B2CF9AE}" pid="10" name="Folder_VersionSeq">
    <vt:lpwstr/>
  </property>
  <property fmtid="{D5CDD505-2E9C-101B-9397-08002B2CF9AE}" pid="11" name="Folder_Manager">
    <vt:lpwstr/>
  </property>
  <property fmtid="{D5CDD505-2E9C-101B-9397-08002B2CF9AE}" pid="12" name="Folder_ManagerDesc">
    <vt:lpwstr/>
  </property>
  <property fmtid="{D5CDD505-2E9C-101B-9397-08002B2CF9AE}" pid="13" name="Folder_Storage">
    <vt:lpwstr/>
  </property>
  <property fmtid="{D5CDD505-2E9C-101B-9397-08002B2CF9AE}" pid="14" name="Folder_StorageDesc">
    <vt:lpwstr/>
  </property>
  <property fmtid="{D5CDD505-2E9C-101B-9397-08002B2CF9AE}" pid="15" name="Folder_Creator">
    <vt:lpwstr/>
  </property>
  <property fmtid="{D5CDD505-2E9C-101B-9397-08002B2CF9AE}" pid="16" name="Folder_CreatorDesc">
    <vt:lpwstr/>
  </property>
  <property fmtid="{D5CDD505-2E9C-101B-9397-08002B2CF9AE}" pid="17" name="Folder_CreateDate">
    <vt:lpwstr/>
  </property>
  <property fmtid="{D5CDD505-2E9C-101B-9397-08002B2CF9AE}" pid="18" name="Folder_Updater">
    <vt:lpwstr/>
  </property>
  <property fmtid="{D5CDD505-2E9C-101B-9397-08002B2CF9AE}" pid="19" name="Folder_UpdaterDesc">
    <vt:lpwstr/>
  </property>
  <property fmtid="{D5CDD505-2E9C-101B-9397-08002B2CF9AE}" pid="20" name="Folder_UpdateDate">
    <vt:lpwstr/>
  </property>
  <property fmtid="{D5CDD505-2E9C-101B-9397-08002B2CF9AE}" pid="21" name="Document_Number">
    <vt:lpwstr/>
  </property>
  <property fmtid="{D5CDD505-2E9C-101B-9397-08002B2CF9AE}" pid="22" name="Document_Name">
    <vt:lpwstr/>
  </property>
  <property fmtid="{D5CDD505-2E9C-101B-9397-08002B2CF9AE}" pid="23" name="Document_FileName">
    <vt:lpwstr/>
  </property>
  <property fmtid="{D5CDD505-2E9C-101B-9397-08002B2CF9AE}" pid="24" name="Document_Version">
    <vt:lpwstr/>
  </property>
  <property fmtid="{D5CDD505-2E9C-101B-9397-08002B2CF9AE}" pid="25" name="Document_VersionSeq">
    <vt:lpwstr/>
  </property>
  <property fmtid="{D5CDD505-2E9C-101B-9397-08002B2CF9AE}" pid="26" name="Document_Creator">
    <vt:lpwstr/>
  </property>
  <property fmtid="{D5CDD505-2E9C-101B-9397-08002B2CF9AE}" pid="27" name="Document_CreatorDesc">
    <vt:lpwstr/>
  </property>
  <property fmtid="{D5CDD505-2E9C-101B-9397-08002B2CF9AE}" pid="28" name="Document_CreateDate">
    <vt:lpwstr/>
  </property>
  <property fmtid="{D5CDD505-2E9C-101B-9397-08002B2CF9AE}" pid="29" name="Document_Updater">
    <vt:lpwstr/>
  </property>
  <property fmtid="{D5CDD505-2E9C-101B-9397-08002B2CF9AE}" pid="30" name="Document_UpdaterDesc">
    <vt:lpwstr/>
  </property>
  <property fmtid="{D5CDD505-2E9C-101B-9397-08002B2CF9AE}" pid="31" name="Document_UpdateDate">
    <vt:lpwstr/>
  </property>
  <property fmtid="{D5CDD505-2E9C-101B-9397-08002B2CF9AE}" pid="32" name="Document_Size">
    <vt:lpwstr/>
  </property>
  <property fmtid="{D5CDD505-2E9C-101B-9397-08002B2CF9AE}" pid="33" name="Document_Storage">
    <vt:lpwstr/>
  </property>
  <property fmtid="{D5CDD505-2E9C-101B-9397-08002B2CF9AE}" pid="34" name="Document_StorageDesc">
    <vt:lpwstr/>
  </property>
  <property fmtid="{D5CDD505-2E9C-101B-9397-08002B2CF9AE}" pid="35" name="Document_Department">
    <vt:lpwstr/>
  </property>
  <property fmtid="{D5CDD505-2E9C-101B-9397-08002B2CF9AE}" pid="36" name="Document_DepartmentDesc">
    <vt:lpwstr/>
  </property>
</Properties>
</file>