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updateLinks="never" codeName="ThisWorkbook" checkCompatibility="1"/>
  <mc:AlternateContent xmlns:mc="http://schemas.openxmlformats.org/markup-compatibility/2006">
    <mc:Choice Requires="x15">
      <x15ac:absPath xmlns:x15ac="http://schemas.microsoft.com/office/spreadsheetml/2010/11/ac" url="P:\PI\24I010R LK201_Somonino-Osowa\06_Podwykonawcy\Proc_wyboru\010. OBIEKTY ZIEMNE i ROZBIÓRKI\robocze\"/>
    </mc:Choice>
  </mc:AlternateContent>
  <xr:revisionPtr revIDLastSave="0" documentId="13_ncr:1_{9A6BE4C4-B9FE-4DE7-AFD3-7454FCF9A0F7}" xr6:coauthVersionLast="47" xr6:coauthVersionMax="47" xr10:uidLastSave="{00000000-0000-0000-0000-000000000000}"/>
  <bookViews>
    <workbookView xWindow="-108" yWindow="-108" windowWidth="23256" windowHeight="12456" tabRatio="884" activeTab="1" xr2:uid="{00000000-000D-0000-FFFF-FFFF00000000}"/>
  </bookViews>
  <sheets>
    <sheet name="Str tyt_01" sheetId="130" r:id="rId1"/>
    <sheet name="odcinek B " sheetId="131" r:id="rId2"/>
    <sheet name="odcinek C" sheetId="133" r:id="rId3"/>
  </sheets>
  <definedNames>
    <definedName name="_od1" localSheetId="0">#REF!</definedName>
    <definedName name="_od1">#REF!</definedName>
    <definedName name="_od2" localSheetId="0">#REF!</definedName>
    <definedName name="_od2">#REF!</definedName>
    <definedName name="_od3" localSheetId="0">#REF!</definedName>
    <definedName name="_od3">#REF!</definedName>
    <definedName name="_od4" localSheetId="0">#REF!</definedName>
    <definedName name="_od4">#REF!</definedName>
    <definedName name="_ods1" localSheetId="0">#REF!</definedName>
    <definedName name="_ods1">#REF!</definedName>
    <definedName name="_ods2" localSheetId="0">#REF!</definedName>
    <definedName name="_ods2">#REF!</definedName>
    <definedName name="_ods3" localSheetId="0">#REF!</definedName>
    <definedName name="_ods3">#REF!</definedName>
    <definedName name="_ods4" localSheetId="0">#REF!</definedName>
    <definedName name="_ods4">#REF!</definedName>
    <definedName name="_xlnm.Print_Area" localSheetId="1">'odcinek B '!$A$1:$I$853</definedName>
    <definedName name="_xlnm.Print_Area" localSheetId="2">'odcinek C'!$A$1:$I$93</definedName>
    <definedName name="_xlnm.Print_Area" localSheetId="0">'Str tyt_01'!$A$1:$K$28</definedName>
    <definedName name="_xlnm.Print_Area">#REF!</definedName>
    <definedName name="P" localSheetId="1">#REF!</definedName>
    <definedName name="P" localSheetId="2">#REF!</definedName>
    <definedName name="P">#REF!</definedName>
    <definedName name="posz1" localSheetId="0">#REF!</definedName>
    <definedName name="posz1">#REF!</definedName>
    <definedName name="posz2" localSheetId="0">#REF!</definedName>
    <definedName name="posz2">#REF!</definedName>
    <definedName name="posz3" localSheetId="0">#REF!</definedName>
    <definedName name="posz3">#REF!</definedName>
    <definedName name="_xlnm.Print_Titles" localSheetId="1">'odcinek B '!$2:$3</definedName>
    <definedName name="_xlnm.Print_Titles" localSheetId="2">'odcinek C'!$2:$3</definedName>
    <definedName name="_xlnm.Print_Titles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32" i="131" l="1"/>
  <c r="I847" i="131" s="1"/>
  <c r="I848" i="131" s="1"/>
  <c r="H618" i="131"/>
  <c r="H636" i="131" s="1"/>
  <c r="H185" i="131" l="1"/>
  <c r="H396" i="131" s="1"/>
  <c r="H184" i="131"/>
  <c r="H372" i="131" s="1"/>
  <c r="H395" i="131" s="1"/>
  <c r="H455" i="131" s="1"/>
  <c r="H99" i="131"/>
  <c r="H98" i="131"/>
  <c r="H96" i="131"/>
  <c r="H97" i="131" s="1"/>
  <c r="H119" i="131" s="1"/>
  <c r="H95" i="131"/>
  <c r="H117" i="131" s="1"/>
  <c r="H86" i="131"/>
  <c r="H109" i="131" s="1"/>
  <c r="H131" i="131" s="1"/>
  <c r="H152" i="131" s="1"/>
  <c r="H173" i="131" s="1"/>
  <c r="H202" i="131" s="1"/>
  <c r="H223" i="131" s="1"/>
  <c r="H244" i="131" s="1"/>
  <c r="H265" i="131" s="1"/>
  <c r="H302" i="131" s="1"/>
  <c r="H323" i="131" s="1"/>
  <c r="H344" i="131" s="1"/>
  <c r="H384" i="131" s="1"/>
  <c r="H444" i="131" s="1"/>
  <c r="H467" i="131" s="1"/>
  <c r="H523" i="131" s="1"/>
  <c r="H558" i="131" s="1"/>
  <c r="H580" i="131" s="1"/>
  <c r="H82" i="131"/>
  <c r="H83" i="131" s="1"/>
  <c r="H80" i="131"/>
  <c r="H104" i="131" s="1"/>
  <c r="H126" i="131" s="1"/>
  <c r="H147" i="131" s="1"/>
  <c r="H168" i="131" s="1"/>
  <c r="H196" i="131" s="1"/>
  <c r="H198" i="131" l="1"/>
  <c r="H218" i="131"/>
  <c r="H239" i="131" s="1"/>
  <c r="H259" i="131" s="1"/>
  <c r="H278" i="131" s="1"/>
  <c r="H295" i="131" s="1"/>
  <c r="H318" i="131" s="1"/>
  <c r="H339" i="131" s="1"/>
  <c r="H358" i="131" s="1"/>
  <c r="H378" i="131" s="1"/>
  <c r="H403" i="131" s="1"/>
  <c r="H421" i="131" s="1"/>
  <c r="H438" i="131" s="1"/>
  <c r="H461" i="131" s="1"/>
  <c r="H484" i="131" s="1"/>
  <c r="H504" i="131" s="1"/>
  <c r="H84" i="131"/>
  <c r="H107" i="131"/>
  <c r="H118" i="131"/>
  <c r="H139" i="131"/>
  <c r="H121" i="131"/>
  <c r="H140" i="131"/>
  <c r="H120" i="131"/>
  <c r="I70" i="133"/>
  <c r="I69" i="133"/>
  <c r="I68" i="133"/>
  <c r="I67" i="133"/>
  <c r="I65" i="133"/>
  <c r="I58" i="133"/>
  <c r="I59" i="133"/>
  <c r="I60" i="133"/>
  <c r="I61" i="133"/>
  <c r="I57" i="133"/>
  <c r="G65" i="133"/>
  <c r="I64" i="133"/>
  <c r="I56" i="133"/>
  <c r="H518" i="131" l="1"/>
  <c r="H536" i="131" s="1"/>
  <c r="H552" i="131" s="1"/>
  <c r="H573" i="131" s="1"/>
  <c r="H595" i="131" s="1"/>
  <c r="H609" i="131" s="1"/>
  <c r="H623" i="131" s="1"/>
  <c r="H641" i="131" s="1"/>
  <c r="H661" i="131" s="1"/>
  <c r="H681" i="131" s="1"/>
  <c r="H701" i="131" s="1"/>
  <c r="H717" i="131" s="1"/>
  <c r="H732" i="131" s="1"/>
  <c r="H747" i="131" s="1"/>
  <c r="H762" i="131" s="1"/>
  <c r="H777" i="131" s="1"/>
  <c r="H791" i="131" s="1"/>
  <c r="H806" i="131" s="1"/>
  <c r="H821" i="131" s="1"/>
  <c r="H837" i="131" s="1"/>
  <c r="H506" i="131"/>
  <c r="H141" i="131"/>
  <c r="H161" i="131"/>
  <c r="H142" i="131"/>
  <c r="H160" i="131"/>
  <c r="H108" i="131"/>
  <c r="H106" i="131"/>
  <c r="H128" i="131" s="1"/>
  <c r="I71" i="133"/>
  <c r="H181" i="131" l="1"/>
  <c r="H163" i="131"/>
  <c r="H149" i="131"/>
  <c r="H150" i="131" s="1"/>
  <c r="H170" i="131" s="1"/>
  <c r="H129" i="131"/>
  <c r="H162" i="131"/>
  <c r="H182" i="131"/>
  <c r="G48" i="133"/>
  <c r="I48" i="133" s="1"/>
  <c r="I49" i="133" s="1"/>
  <c r="I47" i="133"/>
  <c r="H183" i="131" l="1"/>
  <c r="H211" i="131"/>
  <c r="H171" i="131"/>
  <c r="H172" i="131" s="1"/>
  <c r="H199" i="131"/>
  <c r="H186" i="131"/>
  <c r="H213" i="131"/>
  <c r="H210" i="131"/>
  <c r="H231" i="131" s="1"/>
  <c r="H151" i="131"/>
  <c r="H130" i="131"/>
  <c r="I32" i="133"/>
  <c r="G39" i="133"/>
  <c r="I39" i="133" s="1"/>
  <c r="G37" i="133"/>
  <c r="I37" i="133" s="1"/>
  <c r="G33" i="133"/>
  <c r="I33" i="133" s="1"/>
  <c r="H252" i="131" l="1"/>
  <c r="H273" i="131" s="1"/>
  <c r="H290" i="131" s="1"/>
  <c r="H310" i="131" s="1"/>
  <c r="H234" i="131"/>
  <c r="H254" i="131" s="1"/>
  <c r="H200" i="131"/>
  <c r="H201" i="131" s="1"/>
  <c r="H220" i="131"/>
  <c r="H221" i="131" s="1"/>
  <c r="H212" i="131"/>
  <c r="H232" i="131"/>
  <c r="I40" i="133"/>
  <c r="I23" i="133"/>
  <c r="I22" i="133"/>
  <c r="I21" i="133"/>
  <c r="I20" i="133"/>
  <c r="I18" i="133"/>
  <c r="I13" i="133"/>
  <c r="I12" i="133"/>
  <c r="I11" i="133"/>
  <c r="I10" i="133"/>
  <c r="I9" i="133"/>
  <c r="I8" i="133"/>
  <c r="I7" i="133"/>
  <c r="H233" i="131" l="1"/>
  <c r="H253" i="131"/>
  <c r="H311" i="131" s="1"/>
  <c r="H242" i="131"/>
  <c r="H222" i="131"/>
  <c r="H331" i="131"/>
  <c r="H313" i="131"/>
  <c r="I25" i="133"/>
  <c r="I73" i="133" s="1"/>
  <c r="I837" i="131"/>
  <c r="I832" i="131"/>
  <c r="H334" i="131" l="1"/>
  <c r="H352" i="131"/>
  <c r="H369" i="131" s="1"/>
  <c r="H243" i="131"/>
  <c r="H241" i="131"/>
  <c r="H261" i="131" s="1"/>
  <c r="H332" i="131"/>
  <c r="H312" i="131"/>
  <c r="I821" i="131"/>
  <c r="H353" i="131" l="1"/>
  <c r="H370" i="131" s="1"/>
  <c r="H333" i="131"/>
  <c r="H280" i="131"/>
  <c r="H262" i="131"/>
  <c r="H263" i="131" s="1"/>
  <c r="H264" i="131" s="1"/>
  <c r="H373" i="131"/>
  <c r="H392" i="131"/>
  <c r="I806" i="131"/>
  <c r="H416" i="131" l="1"/>
  <c r="H431" i="131" s="1"/>
  <c r="H398" i="131"/>
  <c r="H397" i="131"/>
  <c r="H297" i="131"/>
  <c r="H281" i="131"/>
  <c r="H371" i="131"/>
  <c r="H393" i="131"/>
  <c r="H394" i="131" s="1"/>
  <c r="H432" i="131" s="1"/>
  <c r="H453" i="131" s="1"/>
  <c r="I791" i="131"/>
  <c r="H454" i="131" l="1"/>
  <c r="H477" i="131"/>
  <c r="H566" i="131" s="1"/>
  <c r="H589" i="131" s="1"/>
  <c r="H653" i="131" s="1"/>
  <c r="H654" i="131" s="1"/>
  <c r="H320" i="131"/>
  <c r="H298" i="131"/>
  <c r="H452" i="131"/>
  <c r="H433" i="131"/>
  <c r="I777" i="131"/>
  <c r="H478" i="131" l="1"/>
  <c r="H456" i="131"/>
  <c r="H476" i="131"/>
  <c r="H321" i="131"/>
  <c r="H322" i="131" s="1"/>
  <c r="H341" i="131"/>
  <c r="H342" i="131" s="1"/>
  <c r="H673" i="131"/>
  <c r="H655" i="131"/>
  <c r="I762" i="131"/>
  <c r="H693" i="131" l="1"/>
  <c r="H694" i="131" s="1"/>
  <c r="H695" i="131" s="1"/>
  <c r="H674" i="131"/>
  <c r="H675" i="131" s="1"/>
  <c r="H360" i="131"/>
  <c r="H343" i="131"/>
  <c r="H499" i="131"/>
  <c r="H514" i="131" s="1"/>
  <c r="H531" i="131" s="1"/>
  <c r="H546" i="131" s="1"/>
  <c r="H479" i="131"/>
  <c r="I747" i="131"/>
  <c r="H565" i="131" l="1"/>
  <c r="H547" i="131"/>
  <c r="H380" i="131"/>
  <c r="H361" i="131"/>
  <c r="I732" i="131"/>
  <c r="H381" i="131" l="1"/>
  <c r="H382" i="131" s="1"/>
  <c r="H383" i="131" s="1"/>
  <c r="H405" i="131"/>
  <c r="H568" i="131"/>
  <c r="H588" i="131"/>
  <c r="I717" i="131"/>
  <c r="H604" i="131" l="1"/>
  <c r="H617" i="131" s="1"/>
  <c r="H635" i="131" s="1"/>
  <c r="H652" i="131" s="1"/>
  <c r="H590" i="131"/>
  <c r="H406" i="131"/>
  <c r="H407" i="131" s="1"/>
  <c r="H408" i="131" s="1"/>
  <c r="H423" i="131"/>
  <c r="H440" i="131" s="1"/>
  <c r="H441" i="131" s="1"/>
  <c r="H442" i="131" s="1"/>
  <c r="I701" i="131"/>
  <c r="I695" i="131"/>
  <c r="I694" i="131"/>
  <c r="I693" i="131"/>
  <c r="H443" i="131" l="1"/>
  <c r="H463" i="131"/>
  <c r="H464" i="131" s="1"/>
  <c r="H656" i="131"/>
  <c r="H672" i="131"/>
  <c r="I681" i="131"/>
  <c r="I675" i="131"/>
  <c r="I674" i="131"/>
  <c r="I673" i="131"/>
  <c r="I672" i="131"/>
  <c r="H692" i="131" l="1"/>
  <c r="H676" i="131"/>
  <c r="I676" i="131" s="1"/>
  <c r="H487" i="131"/>
  <c r="H465" i="131"/>
  <c r="H466" i="131" s="1"/>
  <c r="I661" i="131"/>
  <c r="I656" i="131"/>
  <c r="I655" i="131"/>
  <c r="I654" i="131"/>
  <c r="I653" i="131"/>
  <c r="I652" i="131"/>
  <c r="H521" i="131" l="1"/>
  <c r="H488" i="131"/>
  <c r="H486" i="131"/>
  <c r="H712" i="131"/>
  <c r="H696" i="131"/>
  <c r="I696" i="131" s="1"/>
  <c r="I692" i="131"/>
  <c r="I641" i="131"/>
  <c r="I636" i="131"/>
  <c r="I635" i="131"/>
  <c r="H727" i="131" l="1"/>
  <c r="I712" i="131"/>
  <c r="H538" i="131"/>
  <c r="H554" i="131" s="1"/>
  <c r="H555" i="131" s="1"/>
  <c r="H522" i="131"/>
  <c r="H520" i="131"/>
  <c r="I623" i="131"/>
  <c r="I618" i="131"/>
  <c r="I617" i="131"/>
  <c r="H575" i="131" l="1"/>
  <c r="H556" i="131"/>
  <c r="H557" i="131" s="1"/>
  <c r="H742" i="131"/>
  <c r="I727" i="131"/>
  <c r="I609" i="131"/>
  <c r="I604" i="131"/>
  <c r="I610" i="131" s="1"/>
  <c r="H757" i="131" l="1"/>
  <c r="I742" i="131"/>
  <c r="H597" i="131"/>
  <c r="H576" i="131"/>
  <c r="H577" i="131" s="1"/>
  <c r="H578" i="131" s="1"/>
  <c r="H625" i="131" s="1"/>
  <c r="I597" i="131"/>
  <c r="I595" i="131"/>
  <c r="I590" i="131"/>
  <c r="I589" i="131"/>
  <c r="I588" i="131"/>
  <c r="H643" i="131" l="1"/>
  <c r="H626" i="131"/>
  <c r="I626" i="131" s="1"/>
  <c r="I625" i="131"/>
  <c r="I628" i="131" s="1"/>
  <c r="H772" i="131"/>
  <c r="I757" i="131"/>
  <c r="I598" i="131"/>
  <c r="I580" i="131"/>
  <c r="I578" i="131"/>
  <c r="I577" i="131"/>
  <c r="I576" i="131"/>
  <c r="I575" i="131"/>
  <c r="I573" i="131"/>
  <c r="I568" i="131"/>
  <c r="I567" i="131"/>
  <c r="I566" i="131"/>
  <c r="I565" i="131"/>
  <c r="I558" i="131"/>
  <c r="I557" i="131"/>
  <c r="I556" i="131"/>
  <c r="I555" i="131"/>
  <c r="I554" i="131"/>
  <c r="I552" i="131"/>
  <c r="I547" i="131"/>
  <c r="I546" i="131"/>
  <c r="H786" i="131" l="1"/>
  <c r="I772" i="131"/>
  <c r="H644" i="131"/>
  <c r="I643" i="131"/>
  <c r="I581" i="131"/>
  <c r="I559" i="131"/>
  <c r="I538" i="131"/>
  <c r="I536" i="131"/>
  <c r="I531" i="131"/>
  <c r="H663" i="131" l="1"/>
  <c r="I644" i="131"/>
  <c r="I645" i="131" s="1"/>
  <c r="H801" i="131"/>
  <c r="I786" i="131"/>
  <c r="I539" i="131"/>
  <c r="I523" i="131"/>
  <c r="I522" i="131"/>
  <c r="I521" i="131"/>
  <c r="I520" i="131"/>
  <c r="I518" i="131"/>
  <c r="I514" i="131"/>
  <c r="I524" i="131" l="1"/>
  <c r="H816" i="131"/>
  <c r="I801" i="131"/>
  <c r="H683" i="131"/>
  <c r="I663" i="131"/>
  <c r="I665" i="131" s="1"/>
  <c r="I506" i="131"/>
  <c r="I504" i="131"/>
  <c r="I499" i="131"/>
  <c r="H703" i="131" l="1"/>
  <c r="I683" i="131"/>
  <c r="I685" i="131" s="1"/>
  <c r="H831" i="131"/>
  <c r="I831" i="131" s="1"/>
  <c r="I816" i="131"/>
  <c r="I507" i="131"/>
  <c r="I490" i="131"/>
  <c r="I488" i="131"/>
  <c r="I487" i="131"/>
  <c r="I486" i="131"/>
  <c r="I484" i="131"/>
  <c r="I479" i="131"/>
  <c r="I478" i="131"/>
  <c r="I477" i="131"/>
  <c r="I476" i="131"/>
  <c r="H719" i="131" l="1"/>
  <c r="I703" i="131"/>
  <c r="I705" i="131" s="1"/>
  <c r="I492" i="131"/>
  <c r="I467" i="131"/>
  <c r="I466" i="131"/>
  <c r="I465" i="131"/>
  <c r="I464" i="131"/>
  <c r="I463" i="131"/>
  <c r="I461" i="131"/>
  <c r="I456" i="131"/>
  <c r="I455" i="131"/>
  <c r="I454" i="131"/>
  <c r="I453" i="131"/>
  <c r="I452" i="131"/>
  <c r="I444" i="131"/>
  <c r="I443" i="131"/>
  <c r="I442" i="131"/>
  <c r="I441" i="131"/>
  <c r="I440" i="131"/>
  <c r="I438" i="131"/>
  <c r="I433" i="131"/>
  <c r="I432" i="131"/>
  <c r="I431" i="131"/>
  <c r="H734" i="131" l="1"/>
  <c r="I719" i="131"/>
  <c r="I720" i="131" s="1"/>
  <c r="I468" i="131"/>
  <c r="I445" i="131"/>
  <c r="I423" i="131"/>
  <c r="I421" i="131"/>
  <c r="I416" i="131"/>
  <c r="H749" i="131" l="1"/>
  <c r="I734" i="131"/>
  <c r="I735" i="131" s="1"/>
  <c r="I424" i="131"/>
  <c r="I408" i="131"/>
  <c r="I407" i="131"/>
  <c r="I406" i="131"/>
  <c r="I405" i="131"/>
  <c r="I403" i="131"/>
  <c r="I398" i="131"/>
  <c r="I397" i="131"/>
  <c r="I396" i="131"/>
  <c r="I395" i="131"/>
  <c r="I394" i="131"/>
  <c r="I393" i="131"/>
  <c r="I392" i="131"/>
  <c r="H764" i="131" l="1"/>
  <c r="I749" i="131"/>
  <c r="I750" i="131" s="1"/>
  <c r="I409" i="131"/>
  <c r="I384" i="131"/>
  <c r="I383" i="131"/>
  <c r="I382" i="131"/>
  <c r="I381" i="131"/>
  <c r="I380" i="131"/>
  <c r="I378" i="131"/>
  <c r="I373" i="131"/>
  <c r="I372" i="131"/>
  <c r="I371" i="131"/>
  <c r="I370" i="131"/>
  <c r="I369" i="131"/>
  <c r="H779" i="131" l="1"/>
  <c r="I764" i="131"/>
  <c r="I765" i="131" s="1"/>
  <c r="I385" i="131"/>
  <c r="I361" i="131"/>
  <c r="I360" i="131"/>
  <c r="I358" i="131"/>
  <c r="I353" i="131"/>
  <c r="I352" i="131"/>
  <c r="H793" i="131" l="1"/>
  <c r="I779" i="131"/>
  <c r="I780" i="131" s="1"/>
  <c r="I362" i="131"/>
  <c r="G344" i="131"/>
  <c r="I344" i="131" s="1"/>
  <c r="G343" i="131"/>
  <c r="I343" i="131" s="1"/>
  <c r="G342" i="131"/>
  <c r="I342" i="131" s="1"/>
  <c r="G341" i="131"/>
  <c r="I341" i="131" s="1"/>
  <c r="G339" i="131"/>
  <c r="I339" i="131" s="1"/>
  <c r="I334" i="131"/>
  <c r="I333" i="131"/>
  <c r="I332" i="131"/>
  <c r="I331" i="131"/>
  <c r="H808" i="131" l="1"/>
  <c r="I793" i="131"/>
  <c r="I794" i="131" s="1"/>
  <c r="I345" i="131"/>
  <c r="G323" i="131"/>
  <c r="I323" i="131" s="1"/>
  <c r="G322" i="131"/>
  <c r="I322" i="131" s="1"/>
  <c r="G321" i="131"/>
  <c r="I321" i="131" s="1"/>
  <c r="G320" i="131"/>
  <c r="I320" i="131" s="1"/>
  <c r="G318" i="131"/>
  <c r="I318" i="131" s="1"/>
  <c r="I313" i="131"/>
  <c r="I312" i="131"/>
  <c r="I311" i="131"/>
  <c r="I310" i="131"/>
  <c r="H823" i="131" l="1"/>
  <c r="I808" i="131"/>
  <c r="I809" i="131" s="1"/>
  <c r="I324" i="131"/>
  <c r="I302" i="131"/>
  <c r="I300" i="131"/>
  <c r="I298" i="131"/>
  <c r="I297" i="131"/>
  <c r="I295" i="131"/>
  <c r="I290" i="131"/>
  <c r="H839" i="131" l="1"/>
  <c r="I839" i="131" s="1"/>
  <c r="I840" i="131" s="1"/>
  <c r="I823" i="131"/>
  <c r="I824" i="131" s="1"/>
  <c r="I303" i="131"/>
  <c r="I281" i="131"/>
  <c r="I280" i="131"/>
  <c r="I278" i="131"/>
  <c r="I273" i="131"/>
  <c r="I283" i="131" l="1"/>
  <c r="I265" i="131"/>
  <c r="I264" i="131"/>
  <c r="I263" i="131"/>
  <c r="I262" i="131"/>
  <c r="I261" i="131"/>
  <c r="I259" i="131"/>
  <c r="I254" i="131"/>
  <c r="I253" i="131"/>
  <c r="I252" i="131"/>
  <c r="I266" i="131" l="1"/>
  <c r="G244" i="131"/>
  <c r="I244" i="131" s="1"/>
  <c r="G243" i="131"/>
  <c r="I243" i="131" s="1"/>
  <c r="G242" i="131"/>
  <c r="I242" i="131" s="1"/>
  <c r="G241" i="131"/>
  <c r="I241" i="131" s="1"/>
  <c r="G239" i="131"/>
  <c r="I239" i="131" s="1"/>
  <c r="I234" i="131"/>
  <c r="I233" i="131"/>
  <c r="I232" i="131"/>
  <c r="G231" i="131"/>
  <c r="I231" i="131" s="1"/>
  <c r="I245" i="131" l="1"/>
  <c r="G223" i="131"/>
  <c r="I223" i="131" s="1"/>
  <c r="G222" i="131"/>
  <c r="I222" i="131" s="1"/>
  <c r="G221" i="131"/>
  <c r="I221" i="131" s="1"/>
  <c r="G220" i="131"/>
  <c r="I220" i="131" s="1"/>
  <c r="G218" i="131"/>
  <c r="I218" i="131" s="1"/>
  <c r="I213" i="131"/>
  <c r="I212" i="131"/>
  <c r="I211" i="131"/>
  <c r="G210" i="131"/>
  <c r="I210" i="131" s="1"/>
  <c r="I224" i="131" l="1"/>
  <c r="I202" i="131"/>
  <c r="I201" i="131"/>
  <c r="I200" i="131"/>
  <c r="I199" i="131"/>
  <c r="I198" i="131"/>
  <c r="G196" i="131"/>
  <c r="I196" i="131" s="1"/>
  <c r="I191" i="131"/>
  <c r="I190" i="131"/>
  <c r="I189" i="131"/>
  <c r="I187" i="131"/>
  <c r="I186" i="131"/>
  <c r="I185" i="131"/>
  <c r="I184" i="131"/>
  <c r="I183" i="131"/>
  <c r="I182" i="131"/>
  <c r="G181" i="131"/>
  <c r="I181" i="131" s="1"/>
  <c r="I203" i="131" l="1"/>
  <c r="G173" i="131"/>
  <c r="I173" i="131" s="1"/>
  <c r="G172" i="131"/>
  <c r="I172" i="131" s="1"/>
  <c r="G171" i="131"/>
  <c r="I171" i="131" s="1"/>
  <c r="G170" i="131"/>
  <c r="I170" i="131" s="1"/>
  <c r="G168" i="131"/>
  <c r="I168" i="131" s="1"/>
  <c r="I163" i="131"/>
  <c r="I162" i="131"/>
  <c r="I161" i="131"/>
  <c r="I160" i="131"/>
  <c r="I174" i="131" l="1"/>
  <c r="G152" i="131"/>
  <c r="I152" i="131" s="1"/>
  <c r="G151" i="131"/>
  <c r="I151" i="131" s="1"/>
  <c r="G150" i="131"/>
  <c r="I150" i="131" s="1"/>
  <c r="G149" i="131"/>
  <c r="I149" i="131" s="1"/>
  <c r="G147" i="131"/>
  <c r="I147" i="131" s="1"/>
  <c r="I142" i="131"/>
  <c r="I141" i="131"/>
  <c r="I140" i="131"/>
  <c r="I139" i="131"/>
  <c r="I153" i="131" l="1"/>
  <c r="G131" i="131"/>
  <c r="I131" i="131" s="1"/>
  <c r="G130" i="131"/>
  <c r="I130" i="131" s="1"/>
  <c r="G129" i="131"/>
  <c r="I129" i="131" s="1"/>
  <c r="G128" i="131"/>
  <c r="I128" i="131" s="1"/>
  <c r="G126" i="131"/>
  <c r="I126" i="131" s="1"/>
  <c r="I121" i="131"/>
  <c r="I120" i="131"/>
  <c r="I119" i="131"/>
  <c r="I118" i="131"/>
  <c r="G117" i="131"/>
  <c r="I117" i="131" s="1"/>
  <c r="I132" i="131" l="1"/>
  <c r="G109" i="131"/>
  <c r="I109" i="131" s="1"/>
  <c r="G108" i="131"/>
  <c r="I108" i="131" s="1"/>
  <c r="G107" i="131"/>
  <c r="I107" i="131" s="1"/>
  <c r="G106" i="131"/>
  <c r="I106" i="131" s="1"/>
  <c r="G104" i="131"/>
  <c r="I104" i="131" s="1"/>
  <c r="I99" i="131"/>
  <c r="I98" i="131"/>
  <c r="I97" i="131"/>
  <c r="I96" i="131"/>
  <c r="I95" i="131"/>
  <c r="I110" i="131" l="1"/>
  <c r="G86" i="131"/>
  <c r="I86" i="131" s="1"/>
  <c r="G84" i="131"/>
  <c r="I84" i="131" s="1"/>
  <c r="G83" i="131"/>
  <c r="I83" i="131" s="1"/>
  <c r="G82" i="131"/>
  <c r="I82" i="131" s="1"/>
  <c r="G80" i="131"/>
  <c r="I80" i="131" s="1"/>
  <c r="I75" i="131"/>
  <c r="I74" i="131"/>
  <c r="I73" i="131"/>
  <c r="G72" i="131"/>
  <c r="I72" i="131" s="1"/>
  <c r="I88" i="131" l="1"/>
  <c r="I64" i="131"/>
  <c r="I63" i="131"/>
  <c r="I62" i="131"/>
  <c r="I61" i="131"/>
  <c r="I60" i="131"/>
  <c r="I58" i="131"/>
  <c r="I53" i="131"/>
  <c r="I52" i="131"/>
  <c r="I51" i="131"/>
  <c r="I50" i="131"/>
  <c r="G49" i="131"/>
  <c r="I49" i="131" s="1"/>
  <c r="I65" i="131" l="1"/>
  <c r="G41" i="131"/>
  <c r="I41" i="131" s="1"/>
  <c r="G40" i="131"/>
  <c r="I40" i="131" s="1"/>
  <c r="G39" i="131"/>
  <c r="I39" i="131" s="1"/>
  <c r="G38" i="131"/>
  <c r="I38" i="131" s="1"/>
  <c r="G36" i="131"/>
  <c r="I36" i="131" s="1"/>
  <c r="I31" i="131"/>
  <c r="I30" i="131"/>
  <c r="I29" i="131"/>
  <c r="G28" i="131"/>
  <c r="I28" i="131" s="1"/>
  <c r="I42" i="131" l="1"/>
  <c r="I8" i="131"/>
  <c r="I9" i="131"/>
  <c r="I10" i="131"/>
  <c r="G15" i="131" l="1"/>
  <c r="I15" i="131" s="1"/>
  <c r="G20" i="131" l="1"/>
  <c r="I20" i="131" s="1"/>
  <c r="G19" i="131"/>
  <c r="I19" i="131" s="1"/>
  <c r="G18" i="131"/>
  <c r="I18" i="131" s="1"/>
  <c r="G17" i="131"/>
  <c r="I17" i="131" s="1"/>
  <c r="G7" i="131"/>
  <c r="I7" i="131" s="1"/>
  <c r="I21" i="131" l="1"/>
  <c r="I850" i="131" l="1"/>
  <c r="J22" i="130" s="1"/>
</calcChain>
</file>

<file path=xl/sharedStrings.xml><?xml version="1.0" encoding="utf-8"?>
<sst xmlns="http://schemas.openxmlformats.org/spreadsheetml/2006/main" count="3180" uniqueCount="241">
  <si>
    <t>Lp.</t>
  </si>
  <si>
    <t>Ilość</t>
  </si>
  <si>
    <t>PRZYGOTOWANIE TERENU POD BUDOWĘ</t>
  </si>
  <si>
    <t>1.4.1</t>
  </si>
  <si>
    <t>1.5.1</t>
  </si>
  <si>
    <t>m</t>
  </si>
  <si>
    <t>1.4</t>
  </si>
  <si>
    <t>1.5</t>
  </si>
  <si>
    <t>1.4.1.3</t>
  </si>
  <si>
    <t>1.4.1.4</t>
  </si>
  <si>
    <t>1.4.1.5</t>
  </si>
  <si>
    <t>1.5.1.1</t>
  </si>
  <si>
    <t>x</t>
  </si>
  <si>
    <t>ROBOTY PRZYGOTOWAWCZE</t>
  </si>
  <si>
    <r>
      <t>m</t>
    </r>
    <r>
      <rPr>
        <vertAlign val="superscript"/>
        <sz val="9"/>
        <rFont val="Arial"/>
        <family val="2"/>
        <charset val="238"/>
      </rPr>
      <t>3</t>
    </r>
    <r>
      <rPr>
        <b/>
        <sz val="10"/>
        <rFont val="Arial CE"/>
        <family val="2"/>
        <charset val="238"/>
      </rPr>
      <t/>
    </r>
  </si>
  <si>
    <r>
      <t>m</t>
    </r>
    <r>
      <rPr>
        <vertAlign val="superscript"/>
        <sz val="9"/>
        <rFont val="Arial"/>
        <family val="2"/>
        <charset val="238"/>
      </rPr>
      <t>2</t>
    </r>
  </si>
  <si>
    <t>Razem roboty przygotowawcze:</t>
  </si>
  <si>
    <t>FUNDAMENTOWANIE</t>
  </si>
  <si>
    <t>Wykopy pod ławy w gruncie wraz z zabezpieczeniem</t>
  </si>
  <si>
    <t>- wykonanie wykopów mechanicznie w gruncie kategorii III wraz z zabezpieczeniem stateczności ścian, z ewentualnymi wykopami ręcznymi oraz z odwiezieniem urobku na składowisko Wykonawcy,</t>
  </si>
  <si>
    <r>
      <t>m</t>
    </r>
    <r>
      <rPr>
        <vertAlign val="superscript"/>
        <sz val="9"/>
        <rFont val="Arial"/>
        <family val="2"/>
        <charset val="238"/>
      </rPr>
      <t>3</t>
    </r>
  </si>
  <si>
    <t>1.5.2</t>
  </si>
  <si>
    <t>Zasypanie wykopów wraz z zagęszczeniem</t>
  </si>
  <si>
    <t>1.5.2.1</t>
  </si>
  <si>
    <t>-  zasypanie wnęki za ścianami (odtworzenie nasypu) wraz z zagęszczeniem do Is=1,0÷1,03 - gruntem dowiezionym z ukopu Wykonawcy,</t>
  </si>
  <si>
    <t>1.5.2.2</t>
  </si>
  <si>
    <t>1.5.2.3</t>
  </si>
  <si>
    <t>1.5.3.2</t>
  </si>
  <si>
    <t>1.4.1.29</t>
  </si>
  <si>
    <t>Cena jedn.</t>
  </si>
  <si>
    <t>Wartość netto</t>
  </si>
  <si>
    <t xml:space="preserve"> </t>
  </si>
  <si>
    <t>-  zasypanie wykopów ław fundamentowych wraz z zagęszczeniem do Is=1,0 - gruntem dowiezionym z ukopu Wykonawcy,</t>
  </si>
  <si>
    <t>-  formowanie stożków wraz z zagęszczeniem do Is= 1,00÷0,97 - gruntem dowiezionym z ukopu Wykonawcy,</t>
  </si>
  <si>
    <t>poz.</t>
  </si>
  <si>
    <t>- rozbiórka umocnień skarp</t>
  </si>
  <si>
    <t>ST.06.01.00.</t>
  </si>
  <si>
    <t>ST.06.01.02.</t>
  </si>
  <si>
    <t>ST.06.11.00</t>
  </si>
  <si>
    <t>ST.06.11.01.</t>
  </si>
  <si>
    <t>ST.06.11.02.</t>
  </si>
  <si>
    <t>Nazwa
zadania</t>
  </si>
  <si>
    <t>Nazwa i opis</t>
  </si>
  <si>
    <t>J.m.</t>
  </si>
  <si>
    <t xml:space="preserve">Odcinek B – Roboty budowlane na linii kolejowej nr 201 odc. Somonino – Gdańsk Osowa realizowane w ramach projektu 
„Prace na alternatywnym ciągu transportowym Bydgoszcz – Trójmiasto”   </t>
  </si>
  <si>
    <t>Nr
STWiORB</t>
  </si>
  <si>
    <t>Projekt ten przyczynia się do zmniejszenia różnic społecznych i gospodarczych pomiędzy obywatelami Unii Europejskiej</t>
  </si>
  <si>
    <t>PKP POLSKIE LINIE KOLEJOWE S.A.</t>
  </si>
  <si>
    <t>ul. Targowa 74</t>
  </si>
  <si>
    <t>03-734 Warszawa</t>
  </si>
  <si>
    <t>Nazwa projektu:</t>
  </si>
  <si>
    <t>Nazwa zadania:</t>
  </si>
  <si>
    <t>Adres obiektu budowlanego:</t>
  </si>
  <si>
    <t>Odcinek:</t>
  </si>
  <si>
    <t>ODCINEK B</t>
  </si>
  <si>
    <t>Linia kolejowa 201 od km 163,250 do km 187,045</t>
  </si>
  <si>
    <t xml:space="preserve"> „Prace na alternatywnym ciągu transportowym Bydgoszcz – Trójmiasto”</t>
  </si>
  <si>
    <t>Tom/Część</t>
  </si>
  <si>
    <t>Tytuł opracowania:</t>
  </si>
  <si>
    <t>WARTOŚĆ KOSZTORYSOWA ROBÓT BEZ PODATKU VAT:</t>
  </si>
  <si>
    <t>- rozbiórka elementów żelbetowych - podpory</t>
  </si>
  <si>
    <t>- rozbiórka elementów żelbetowych - ustrój nośny</t>
  </si>
  <si>
    <t>- rozbiórka liniowych elementów stalowych (poręcze, bariery, wygrodzenia)</t>
  </si>
  <si>
    <t>ROBOTY BUDOWLANE W ZAKRESIE BUDOWY MOSTÓW I TUNELI, SZYBÓW I KOLEJ PODZIEMNEJ</t>
  </si>
  <si>
    <t>Rozbiórka obiektów budowlanych i inżynieryjnych:</t>
  </si>
  <si>
    <t>1.2.</t>
  </si>
  <si>
    <t>1.2.1.</t>
  </si>
  <si>
    <t>1.2.1.1.</t>
  </si>
  <si>
    <t>1.2.1.2.</t>
  </si>
  <si>
    <t>1.2.1.3.</t>
  </si>
  <si>
    <t>1.2.1.4.</t>
  </si>
  <si>
    <t>1.3.</t>
  </si>
  <si>
    <t>1.3.1.</t>
  </si>
  <si>
    <t>1.3.1.1.</t>
  </si>
  <si>
    <t>1.3.2.</t>
  </si>
  <si>
    <t>1.3.2.1.</t>
  </si>
  <si>
    <t>1.3.2.2.</t>
  </si>
  <si>
    <t>1.3.2.3.</t>
  </si>
  <si>
    <t>1.3.4.2.</t>
  </si>
  <si>
    <t>Zamawiający:</t>
  </si>
  <si>
    <t>PRZEDMIAR ROBÓT
Wiadukt kolejowy w km 163+471,24 (ist.163+556) LK201</t>
  </si>
  <si>
    <t>ŁĄCZNIE:</t>
  </si>
  <si>
    <t>Kod ind.</t>
  </si>
  <si>
    <t>Nazwa 
oprac.</t>
  </si>
  <si>
    <t>Budowa, przebudowa i rozbudowa linii kolejowej nr 201 od km 163,250 do km 187,045 – ODCINEK B w ramach projektu „Prace na alternatywnym ciągu transportowym Bydgoszcz – Trójmiasto”</t>
  </si>
  <si>
    <t>Województwo pomorskie, powiaty: kartuski, m. Gdańsk, gminy: Somonino, Kartuzy - G, Żukowo - G, Żukowo - M, M. Gdańsk</t>
  </si>
  <si>
    <t>Linia kolejowa wraz z infrastrukturą towarzyszącą</t>
  </si>
  <si>
    <t>Nazwa obiektu budowlanego:</t>
  </si>
  <si>
    <t xml:space="preserve">Odcinek B – Roboty budowlane na linii kolejowej nr 201 odc. Somonino – Gdańsk Osowa realizowane w ramach projektu 
„Prace na alternatywnym ciągu transportowym Bydgoszcz – Trójmiasto” </t>
  </si>
  <si>
    <t>PRZEDMIAR ROBÓT
Most kolejowy w km 163+574,70 (ist.163+652) LK201</t>
  </si>
  <si>
    <t xml:space="preserve">- rozbiórka konstrukcji stalowej - ustrój nośny </t>
  </si>
  <si>
    <t>Mg</t>
  </si>
  <si>
    <t>- demontaż łożysk stalowych i staliwnych</t>
  </si>
  <si>
    <t>szt.</t>
  </si>
  <si>
    <t>1.2.1.5.</t>
  </si>
  <si>
    <t>1.3.2.4.</t>
  </si>
  <si>
    <t>-  formowanie nasypów wraz z zagęszczeniem do Is=1,00÷0,97 - gruntem dowiezionym z ukopu Wykonawcy,</t>
  </si>
  <si>
    <t xml:space="preserve">ŁĄCZNIE: </t>
  </si>
  <si>
    <t xml:space="preserve">"Odcinek B – Roboty budowlane na linii kolejowej nr 201 odc. Somonino – Gdańsk Osowa realizowane w ramach projektu 
„Prace na alternatywnym ciągu transportowym Bydgoszcz – Trójmiasto”  "   
</t>
  </si>
  <si>
    <t>PRZEDMIAR ROBÓT
Wiadukt kolejowy w km 163+758,45 (ist.163+844) LK201</t>
  </si>
  <si>
    <t>1.3.4.</t>
  </si>
  <si>
    <t>ST.06.11.22</t>
  </si>
  <si>
    <t>Strefy przejściowe za obiektami</t>
  </si>
  <si>
    <t>Razem inne roboty mostowe:</t>
  </si>
  <si>
    <t>PRZEDMIAR ROBÓT
Wiadukt kolejowy w km 165+292,78 (ist.165+383) LK201</t>
  </si>
  <si>
    <t>- demontaż istniejących schodów skarpowych,</t>
  </si>
  <si>
    <t>-  zasypanie wykopów ław fundamentowych wraz z zagęszczeniem do Is=1,0 - gruntem dowiezionym z ukopu Wykonawcy, (w tym wymiana gruntu)</t>
  </si>
  <si>
    <t>PRZEDMIAR ROBÓT
Wiadukt kolejowy w km 168+747,75 (ist.168+849) LK201</t>
  </si>
  <si>
    <t>PRZEDMIAR ROBÓT
Wiadukt kolejowy w km 169+063,62 (ist.169+163) LK201</t>
  </si>
  <si>
    <t>1.1.</t>
  </si>
  <si>
    <t>ST.01.01.01.</t>
  </si>
  <si>
    <t>ROBOTY POMIAROWE</t>
  </si>
  <si>
    <t>PRZEDMIAR ROBÓT
Wiadukt kolejowy w km 171+852,37 (ist.171+953) LK201</t>
  </si>
  <si>
    <t>PRZEDMIAR ROBÓT
Wiadukt kolejowy w km 175+319,85 (ist.175+424) LK201</t>
  </si>
  <si>
    <t>1.2.1.6.</t>
  </si>
  <si>
    <t>1.2.1.7.</t>
  </si>
  <si>
    <t>- demontaż konstrukcji stalowej z blach falistych</t>
  </si>
  <si>
    <t>1.2.2.</t>
  </si>
  <si>
    <t>D.01.00.00</t>
  </si>
  <si>
    <t xml:space="preserve">Rozbiórka istniejacej drogi pod wiaduktem </t>
  </si>
  <si>
    <t>1.2.2.1.</t>
  </si>
  <si>
    <t>- rozbiórka krawężników betonowych na podsypce cementowo - piaskowej</t>
  </si>
  <si>
    <t>1.2.2.2.</t>
  </si>
  <si>
    <t>- rozbiórka nawierzchni z betonu asfaltowego gr. 20 cm</t>
  </si>
  <si>
    <r>
      <t>m</t>
    </r>
    <r>
      <rPr>
        <vertAlign val="superscript"/>
        <sz val="9"/>
        <color rgb="FFFF0000"/>
        <rFont val="Arial"/>
        <family val="2"/>
        <charset val="238"/>
      </rPr>
      <t>2</t>
    </r>
  </si>
  <si>
    <t>1.2.2.3.</t>
  </si>
  <si>
    <t>- rozbiórka nawierzchni z tłucznia kamiennego gr. 40 cm</t>
  </si>
  <si>
    <t>PRZEDMIAR ROBÓT
Wiadukt kolejowy w km 175+596,91 (ist.175+701) LK201</t>
  </si>
  <si>
    <t>PRZEDMIAR ROBÓT
Wiadukt kolejowy w km 175+960,05 (ist.176+059) LK201</t>
  </si>
  <si>
    <t>PRZEDMIAR ROBÓT
Most kolejowy w km 177+260,07 (ist.177+364) LK201</t>
  </si>
  <si>
    <t>- rozbiórka umocnień skarp do utylizacji</t>
  </si>
  <si>
    <t>- rozbiórka elementów betonowych - podpory do utylizacji</t>
  </si>
  <si>
    <t>1.2.1.8.</t>
  </si>
  <si>
    <t>- demontaż istniejących schodów skarpowych do utylizacji</t>
  </si>
  <si>
    <t>PRZEDMIAR ROBÓT
Kładka dla pieszych w km 177+889,01 LK201</t>
  </si>
  <si>
    <t>Razem fundamentowanie:</t>
  </si>
  <si>
    <t>PRZEDMIAR ROBÓT
Przejście dla pieszych pod torami w km 178+961,40 LK201</t>
  </si>
  <si>
    <t>ST.06.11.20.</t>
  </si>
  <si>
    <t>Stabilizacja gruntu cementem</t>
  </si>
  <si>
    <t>-  wykonanie stabilizacji gruntu pod fundamentem cementem Rm=2,5 MPa</t>
  </si>
  <si>
    <t>PRZEDMIAR ROBÓT
Wiadukt kolejowy w km 180+102,02 (ist.180+197) LK201</t>
  </si>
  <si>
    <t>-  zasypanie wykopów ław fundamentowych wraz z zagęszczeniem do Is=1,0 - gruntem dowiezionym z ukopu Wykonawcy, w tym wymiana gruntu</t>
  </si>
  <si>
    <t>PRZEDMIAR ROBÓT
Wiadukt kolejowy w km 180+924,40 (ist.181+028) LK201</t>
  </si>
  <si>
    <t>PRZEDMIAR ROBÓT
Most kolejowy w km 183+790,42 (ist.183+897) LK201</t>
  </si>
  <si>
    <t>PRZEDMIAR ROBÓT
Wiadukt kolejowy w km 184+134,70 (ist.184+243) LK201</t>
  </si>
  <si>
    <t>KOSZTORYS UPROSZCZONY
Most kolejowy w km 184+376,09 (ist.184+483) LK201</t>
  </si>
  <si>
    <t xml:space="preserve">- rozbiórka elementów betonowo-kamiennych </t>
  </si>
  <si>
    <t xml:space="preserve">Odcinek B – Roboty budowlane na linii kolejowej nr 201 odc. Somonino – Gdańsk Osowa realizowane w ramach projektu 
„Prace na alternatywnym ciągu transportowym Bydgoszcz – Trójmiasto”   
</t>
  </si>
  <si>
    <t xml:space="preserve">PRZEDMIAR ROBÓT 
Ściana oporowa SO-10 od km 184+826 do km 185+360 
i od km 185+382 do km 184+454 </t>
  </si>
  <si>
    <t>PRZEDMIAR ROBÓT
Wiadukt kolejowy w km 185+371,64 (ist.185+478) LK201 - tor nr 1</t>
  </si>
  <si>
    <t>PRZEDMIAR ROBÓT
Wiadukt kolejowy w km 185+379,67 toru nr 2 (ist.185+478) LK201</t>
  </si>
  <si>
    <t>PRZEDMIAR ROBÓT
Most kolejowy w km 185+702,55 (ist.185+821) LK201</t>
  </si>
  <si>
    <t>-  zasypanie wykopów ław fundamentowych wraz z zagęszczeniem do Is=1,0 - gruntem dowiezionym z ukopu Wykonawcy, wraz z wymianą gruntu</t>
  </si>
  <si>
    <t>1.12.6.</t>
  </si>
  <si>
    <t>ST.06.20.27.</t>
  </si>
  <si>
    <t>Przełożenie tymczasowe koryta rzeki</t>
  </si>
  <si>
    <t>1.12.6.1.</t>
  </si>
  <si>
    <t>- tymczasowe przełożenie koryta rzeki - np. montaż kanału obiegowego z rury o odpowiedniej średnicy lub wykonanie koryta obiegowego oraz usypanie grodzy ziemnej z gruntu nieprzepuszczalnego</t>
  </si>
  <si>
    <t>kpl.</t>
  </si>
  <si>
    <t xml:space="preserve">Odcinek B – Roboty budowlane na linii kolejowej nr 201 odc. Somonino – Gdańsk Osowa realizowane w ramach projektu 
„Prace na alternatywnym ciągu transportowym Bydgoszcz – Trójmiasto”    
</t>
  </si>
  <si>
    <t xml:space="preserve">PRZEDMIAR ROBÓT 
Ściana oporowa SO-11 od km 185+749 do km 185+783 
i od km 185+872 do km 186+040 </t>
  </si>
  <si>
    <r>
      <t xml:space="preserve">PRZEDMIAR ROBÓT 
Wiadukt kolejowy w km </t>
    </r>
    <r>
      <rPr>
        <b/>
        <sz val="11"/>
        <color rgb="FFFF0000"/>
        <rFont val="Arial"/>
        <family val="2"/>
        <charset val="238"/>
      </rPr>
      <t>185+827,60</t>
    </r>
    <r>
      <rPr>
        <b/>
        <sz val="11"/>
        <color indexed="8"/>
        <rFont val="Arial"/>
        <family val="2"/>
        <charset val="238"/>
      </rPr>
      <t xml:space="preserve"> toru nr 1 LK201</t>
    </r>
  </si>
  <si>
    <t>PRZEDMIAR ROBÓT  
Ściana oporowa SO-12 od km 186+386 do km 186+446 
i od km 186+472 do km 186+617</t>
  </si>
  <si>
    <t>RAZEM</t>
  </si>
  <si>
    <t>PRZEDMIAR ROBÓT 
Wiadukt kolejowy w km 186+458,95 (ist.186+556) LK201 - tor nr 1</t>
  </si>
  <si>
    <t>PRZEDMIAR ROBÓT 
Wiadukt kolejowy w km 186+458,95 (ist.186+556) LK201 - tor nr 1a i nr 2</t>
  </si>
  <si>
    <t>PRZEDMIAR ROBÓT 
Wiadukt kolejowy w km 173+724,52 (ist.173+817) - roboty zabezpieczające</t>
  </si>
  <si>
    <t>PRZEDMIAR ROBÓT 
Wiadukt drogowy w km 178+013,80 (ist.178+108) LK201 - roboty zabezpieczające</t>
  </si>
  <si>
    <t>PRZEDMIAR ROBÓT
Wiadukt drogowy w km 181+999,20 (ist.182+090) LK201 - roboty zabezpieczające</t>
  </si>
  <si>
    <t>PRZEDMIAR ROBÓT 
Wiadukt drogowy w km 183+171,64 (ist.183+263) LK201 - roboty zabezpieczające</t>
  </si>
  <si>
    <t>PRZEDMIAR ROBÓT
Wiadukt drogowy  WD w km ist.165+998 LK201 - rozbiórka</t>
  </si>
  <si>
    <t>PRZEDMIAR ROBÓTPRZEDMIAR ROBÓT
Wiadukt drogowy w km 170+278 LK201 - rozbiórka</t>
  </si>
  <si>
    <t>PRZEDMIAR ROBÓT
Wiadukt drogowy w km ist.174+181 LK201 - rozbiórka</t>
  </si>
  <si>
    <t xml:space="preserve">Odcinek B – Roboty budowlane na linii kolejowej nr 201 odc. Somonino – Gdańsk Osowa realizowane w ramach projektu 
„Prace na alternatywnym ciągu transportowym Bydgoszcz – Trójmiasto” 
</t>
  </si>
  <si>
    <t>PRZEDMIAR ROBÓT
Ściana oporowa SO-1 od km 164+017 do km 164+748</t>
  </si>
  <si>
    <t>PRZEDMIAR ROBÓT
Ściana oporowa SO-2 od km 165+812 do km 165+992</t>
  </si>
  <si>
    <t>PRZEDMIAR ROBÓT
Ściana oporowa SO-3 od km 167+310 do km 167+810</t>
  </si>
  <si>
    <t>PRZEDMIAR ROBÓT 
Ściana oporowa SO-4 od km 168+955 do km 169+003</t>
  </si>
  <si>
    <t>PRZEDMIAR ROBÓT
Ściana oporowa SO-5a od km 173+000 do km 173+165</t>
  </si>
  <si>
    <t>PRZEDMIAR ROBÓT
Ściana oporowa SO-5b od km 173+798 do km 174+002</t>
  </si>
  <si>
    <t>PRZEDMIAR ROBÓT 
Ściana oporowa SO-6 od km 174+395 do km 174+419</t>
  </si>
  <si>
    <t>PRZEDMIAR ROBÓT 
Ściana oporowa SO-7 od km 177+440 do km 178+000</t>
  </si>
  <si>
    <t>KOSZTORYS UPROSZCZONY 
Ściana oporowa SO-8.1 od km 178+028 do km 178+275</t>
  </si>
  <si>
    <t xml:space="preserve">- rozbiórka istniejącej drogi - nawierzchnia betonowa </t>
  </si>
  <si>
    <t xml:space="preserve">Odcinek C – Roboty budowlane na linii kolejowej nr 201 odc. Gdańsk Osowa - Gdynia Główna realizowane 
w ramach projektu „Prace na alternatywnym ciągu transportowym Bydgoszcz – Trójmiasto”
Odcinek C1 od km 187,045 do km 191,629   </t>
  </si>
  <si>
    <t>PRZEDMIAR ROBÓT
Wiadukt kolejowy w km 189+400,75 (ist.189+501) LK201</t>
  </si>
  <si>
    <t>KOSZTORYS UPROSZCZONY
Zeszyt 2 – Most kolejowy MK-01 w km 190+307 LK 201 (istn. km 190+411)</t>
  </si>
  <si>
    <t>L.p.</t>
  </si>
  <si>
    <t>Kod pozycji
przedmiaru</t>
  </si>
  <si>
    <t>Nr STWiORB</t>
  </si>
  <si>
    <t xml:space="preserve">Nazwa i opis </t>
  </si>
  <si>
    <t>Cena jedn. [zł]</t>
  </si>
  <si>
    <t>Wartość netto [zł]</t>
  </si>
  <si>
    <t>1</t>
  </si>
  <si>
    <t>2</t>
  </si>
  <si>
    <t>CPV 45110000-8</t>
  </si>
  <si>
    <t>1.1.1</t>
  </si>
  <si>
    <t>01.01.12.02</t>
  </si>
  <si>
    <t xml:space="preserve">rozbiórka stożków i nasypów                                                               </t>
  </si>
  <si>
    <t>1.1.2</t>
  </si>
  <si>
    <t>02.02.10.40</t>
  </si>
  <si>
    <t>rozbiórka elementów żelbetowych</t>
  </si>
  <si>
    <r>
      <t>m</t>
    </r>
    <r>
      <rPr>
        <vertAlign val="superscript"/>
        <sz val="9"/>
        <color rgb="FFFF0000"/>
        <rFont val="Arial"/>
        <family val="2"/>
        <charset val="238"/>
      </rPr>
      <t>3</t>
    </r>
  </si>
  <si>
    <t>ST.06.11.00.</t>
  </si>
  <si>
    <t>CPV 45221000-2</t>
  </si>
  <si>
    <t>2.1</t>
  </si>
  <si>
    <t>ST.06.11.01</t>
  </si>
  <si>
    <t>Wykopy pod fundamenty w gruncie wraz z zabezpieczeniem</t>
  </si>
  <si>
    <t>2.1.1</t>
  </si>
  <si>
    <t>01.01.14.06</t>
  </si>
  <si>
    <t>wykopy pod konstrukcję tunelu</t>
  </si>
  <si>
    <t>2.2</t>
  </si>
  <si>
    <t>ST.06.11.02</t>
  </si>
  <si>
    <t>Zasypanie wykopów wlotu i wylotu, nasypy wraz z zagęszczeniem</t>
  </si>
  <si>
    <t>2.2.1</t>
  </si>
  <si>
    <t xml:space="preserve">03.01.11.03
</t>
  </si>
  <si>
    <t xml:space="preserve">wykonanie zasypek dla fundamentu i płyty betonowej wraz z zagęszczeniem - wskaźnik zagęszczenia min. Is=1,00÷1,03 </t>
  </si>
  <si>
    <t>KOSZTORYS OFERTOWY
Tymczasowy wiadukt drogowy WD-01 w km 190+483 LK201 (istn. km 190+588)</t>
  </si>
  <si>
    <t>Podstawa wyceny / Nr STWiORB</t>
  </si>
  <si>
    <t>Kod indywidualny</t>
  </si>
  <si>
    <t>Zasypanie wykopów oraz nasypy wraz z zagęszczeniem</t>
  </si>
  <si>
    <t>03.01.11.03</t>
  </si>
  <si>
    <t>m3</t>
  </si>
  <si>
    <t>KOSZTORYS OFERTOWY
Wiadukt drogowy WD-01 w km 190+483 LK201 (istn. km 190+588)</t>
  </si>
  <si>
    <t>02.01.10.05</t>
  </si>
  <si>
    <t>m2</t>
  </si>
  <si>
    <t>02.02.20.10</t>
  </si>
  <si>
    <t>02.02.30.05</t>
  </si>
  <si>
    <t>02.01.15.10</t>
  </si>
  <si>
    <t>- rozbiórka nawierzchni drogowej</t>
  </si>
  <si>
    <t>03.01.11.05</t>
  </si>
  <si>
    <t>RAZEM:</t>
  </si>
  <si>
    <t>ŁĄCZNIE</t>
  </si>
  <si>
    <t>KOSZTORYS UPROSZCZONY 
Przygotowanie dróg dojazdowych do obiektów</t>
  </si>
  <si>
    <t>Wykonanie dróg dojazdowych do obiektów</t>
  </si>
  <si>
    <t>SZACOWANA WARTOŚĆ ZAMÓWIENIA</t>
  </si>
  <si>
    <t xml:space="preserve">Część 7 – Obiekty inżynieryjne
Roboty Ziemne i rozbiórkowe na obiektach inżynieryjnych
</t>
  </si>
  <si>
    <t>- wykonanie podbudowy torowiska z kruszywa o gr. 50 cm  (z materiału powierzonego)</t>
  </si>
  <si>
    <t>- wykonanie podbudowy torowiska z kruszywa o gr. 50 cm    (z materiału powierzonego)</t>
  </si>
  <si>
    <t>- wykonanie podbudowy torowiska z kruszywa o gr. 50 cm   (z materiału powierzonego)</t>
  </si>
  <si>
    <t>SŁOWNIE:
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</si>
</sst>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d.00.00.00\."/>
  </numFmts>
  <fonts count="62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vertAlign val="superscript"/>
      <sz val="9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Pl Courier New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name val="Arial CE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1"/>
      <color theme="1"/>
      <name val="Arial"/>
      <family val="2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11"/>
      <color theme="1"/>
      <name val="Arial"/>
      <family val="2"/>
      <charset val="238"/>
    </font>
    <font>
      <b/>
      <sz val="12"/>
      <color rgb="FF000000"/>
      <name val="Calibri"/>
      <family val="2"/>
      <charset val="238"/>
    </font>
    <font>
      <sz val="10"/>
      <color indexed="64"/>
      <name val="Arial"/>
      <family val="2"/>
      <charset val="238"/>
    </font>
    <font>
      <b/>
      <sz val="9"/>
      <color rgb="FFFFFFFF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0"/>
      <color indexed="64"/>
      <name val="Arial"/>
      <family val="2"/>
    </font>
    <font>
      <sz val="10"/>
      <color indexed="8"/>
      <name val="Microsoft Sans Serif"/>
      <family val="2"/>
      <charset val="238"/>
    </font>
    <font>
      <b/>
      <sz val="11"/>
      <color rgb="FFFF0000"/>
      <name val="Arial"/>
      <family val="2"/>
      <charset val="238"/>
    </font>
    <font>
      <sz val="9"/>
      <color indexed="64"/>
      <name val="Arial"/>
      <family val="2"/>
      <charset val="238"/>
    </font>
    <font>
      <b/>
      <sz val="14"/>
      <name val="Arial"/>
      <family val="2"/>
      <charset val="238"/>
    </font>
    <font>
      <b/>
      <sz val="9"/>
      <color indexed="8"/>
      <name val="Arial"/>
      <family val="2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i/>
      <sz val="9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8"/>
      <name val="Arial"/>
      <family val="2"/>
      <charset val="238"/>
    </font>
    <font>
      <sz val="7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3"/>
        <bgColor indexed="55"/>
      </patternFill>
    </fill>
    <fill>
      <patternFill patternType="solid">
        <fgColor indexed="55"/>
        <bgColor indexed="23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18" fillId="0" borderId="0"/>
    <xf numFmtId="0" fontId="19" fillId="0" borderId="0"/>
    <xf numFmtId="0" fontId="20" fillId="0" borderId="0" applyNumberFormat="0" applyFont="0" applyFill="0" applyBorder="0" applyAlignment="0" applyProtection="0"/>
    <xf numFmtId="0" fontId="18" fillId="0" borderId="0"/>
    <xf numFmtId="0" fontId="1" fillId="0" borderId="0"/>
    <xf numFmtId="0" fontId="12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5" fillId="0" borderId="0"/>
    <xf numFmtId="0" fontId="9" fillId="0" borderId="0"/>
    <xf numFmtId="0" fontId="9" fillId="0" borderId="0"/>
    <xf numFmtId="0" fontId="1" fillId="0" borderId="0" applyNumberFormat="0" applyFill="0" applyBorder="0" applyAlignment="0" applyProtection="0"/>
    <xf numFmtId="0" fontId="17" fillId="0" borderId="0"/>
    <xf numFmtId="0" fontId="9" fillId="0" borderId="0"/>
    <xf numFmtId="0" fontId="21" fillId="0" borderId="0"/>
    <xf numFmtId="0" fontId="21" fillId="0" borderId="0"/>
    <xf numFmtId="0" fontId="17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1" applyNumberFormat="0" applyFont="0" applyFill="0" applyBorder="0" applyProtection="0">
      <alignment vertical="top" wrapText="1"/>
    </xf>
    <xf numFmtId="9" fontId="17" fillId="0" borderId="0" applyFill="0" applyBorder="0" applyAlignment="0" applyProtection="0"/>
    <xf numFmtId="0" fontId="18" fillId="0" borderId="0"/>
    <xf numFmtId="0" fontId="12" fillId="2" borderId="2" applyNumberFormat="0" applyFont="0" applyAlignment="0" applyProtection="0"/>
    <xf numFmtId="0" fontId="9" fillId="2" borderId="2" applyNumberFormat="0" applyFont="0" applyAlignment="0" applyProtection="0"/>
    <xf numFmtId="0" fontId="9" fillId="2" borderId="2" applyNumberFormat="0" applyFont="0" applyAlignment="0" applyProtection="0"/>
    <xf numFmtId="0" fontId="1" fillId="0" borderId="0"/>
    <xf numFmtId="0" fontId="30" fillId="0" borderId="0"/>
    <xf numFmtId="0" fontId="9" fillId="0" borderId="0"/>
    <xf numFmtId="0" fontId="30" fillId="0" borderId="0"/>
  </cellStyleXfs>
  <cellXfs count="380">
    <xf numFmtId="0" fontId="0" fillId="0" borderId="0" xfId="0"/>
    <xf numFmtId="49" fontId="3" fillId="3" borderId="3" xfId="0" applyNumberFormat="1" applyFont="1" applyFill="1" applyBorder="1" applyAlignment="1">
      <alignment horizontal="center" vertical="center"/>
    </xf>
    <xf numFmtId="0" fontId="10" fillId="0" borderId="10" xfId="15" applyNumberFormat="1" applyFont="1" applyFill="1" applyBorder="1" applyAlignment="1" applyProtection="1">
      <alignment vertical="center" wrapText="1"/>
    </xf>
    <xf numFmtId="0" fontId="10" fillId="0" borderId="11" xfId="15" applyNumberFormat="1" applyFont="1" applyFill="1" applyBorder="1" applyAlignment="1" applyProtection="1">
      <alignment vertical="center" wrapText="1"/>
    </xf>
    <xf numFmtId="4" fontId="2" fillId="0" borderId="0" xfId="0" applyNumberFormat="1" applyFont="1" applyAlignment="1">
      <alignment horizontal="center"/>
    </xf>
    <xf numFmtId="49" fontId="2" fillId="0" borderId="0" xfId="0" applyNumberFormat="1" applyFont="1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 vertical="top"/>
    </xf>
    <xf numFmtId="49" fontId="23" fillId="4" borderId="3" xfId="0" applyNumberFormat="1" applyFont="1" applyFill="1" applyBorder="1" applyAlignment="1">
      <alignment vertical="center" wrapText="1"/>
    </xf>
    <xf numFmtId="0" fontId="2" fillId="0" borderId="0" xfId="0" applyFont="1"/>
    <xf numFmtId="0" fontId="10" fillId="0" borderId="13" xfId="15" applyNumberFormat="1" applyFont="1" applyFill="1" applyBorder="1" applyAlignment="1" applyProtection="1">
      <alignment vertical="center" wrapText="1"/>
    </xf>
    <xf numFmtId="4" fontId="10" fillId="0" borderId="13" xfId="15" applyNumberFormat="1" applyFont="1" applyFill="1" applyBorder="1" applyAlignment="1" applyProtection="1">
      <alignment vertical="center" wrapText="1"/>
    </xf>
    <xf numFmtId="49" fontId="25" fillId="4" borderId="3" xfId="0" applyNumberFormat="1" applyFont="1" applyFill="1" applyBorder="1" applyAlignment="1">
      <alignment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3" fontId="10" fillId="0" borderId="11" xfId="15" applyNumberFormat="1" applyFont="1" applyFill="1" applyBorder="1" applyAlignment="1" applyProtection="1">
      <alignment vertical="center" wrapText="1"/>
    </xf>
    <xf numFmtId="3" fontId="10" fillId="0" borderId="13" xfId="15" applyNumberFormat="1" applyFont="1" applyFill="1" applyBorder="1" applyAlignment="1" applyProtection="1">
      <alignment horizontal="right" vertical="center"/>
    </xf>
    <xf numFmtId="0" fontId="1" fillId="0" borderId="8" xfId="56" applyBorder="1"/>
    <xf numFmtId="0" fontId="1" fillId="0" borderId="0" xfId="56"/>
    <xf numFmtId="0" fontId="1" fillId="0" borderId="4" xfId="56" applyBorder="1"/>
    <xf numFmtId="0" fontId="1" fillId="0" borderId="4" xfId="56" applyBorder="1" applyAlignment="1">
      <alignment horizontal="center"/>
    </xf>
    <xf numFmtId="0" fontId="37" fillId="0" borderId="13" xfId="56" applyFont="1" applyBorder="1" applyAlignment="1">
      <alignment vertical="top" wrapText="1" readingOrder="1"/>
    </xf>
    <xf numFmtId="0" fontId="0" fillId="0" borderId="0" xfId="56" applyFont="1"/>
    <xf numFmtId="2" fontId="5" fillId="0" borderId="0" xfId="0" applyNumberFormat="1" applyFont="1" applyAlignment="1">
      <alignment horizontal="right" wrapText="1"/>
    </xf>
    <xf numFmtId="4" fontId="5" fillId="0" borderId="3" xfId="15" applyNumberFormat="1" applyFont="1" applyFill="1" applyBorder="1" applyAlignment="1" applyProtection="1">
      <alignment horizontal="center" vertical="center"/>
    </xf>
    <xf numFmtId="4" fontId="7" fillId="0" borderId="13" xfId="15" applyNumberFormat="1" applyFont="1" applyFill="1" applyBorder="1" applyAlignment="1" applyProtection="1">
      <alignment vertical="center" wrapText="1"/>
    </xf>
    <xf numFmtId="49" fontId="25" fillId="0" borderId="3" xfId="0" applyNumberFormat="1" applyFont="1" applyBorder="1" applyAlignment="1">
      <alignment vertical="center" wrapText="1"/>
    </xf>
    <xf numFmtId="49" fontId="25" fillId="5" borderId="3" xfId="0" applyNumberFormat="1" applyFont="1" applyFill="1" applyBorder="1" applyAlignment="1">
      <alignment vertical="center" wrapText="1"/>
    </xf>
    <xf numFmtId="0" fontId="2" fillId="5" borderId="0" xfId="0" applyFont="1" applyFill="1"/>
    <xf numFmtId="3" fontId="7" fillId="0" borderId="13" xfId="15" applyNumberFormat="1" applyFont="1" applyFill="1" applyBorder="1" applyAlignment="1" applyProtection="1">
      <alignment horizontal="center" vertical="center" wrapText="1"/>
    </xf>
    <xf numFmtId="4" fontId="4" fillId="0" borderId="3" xfId="15" applyNumberFormat="1" applyFont="1" applyFill="1" applyBorder="1" applyAlignment="1" applyProtection="1">
      <alignment horizontal="center" vertical="center"/>
    </xf>
    <xf numFmtId="4" fontId="7" fillId="0" borderId="13" xfId="15" applyNumberFormat="1" applyFont="1" applyFill="1" applyBorder="1" applyAlignment="1" applyProtection="1">
      <alignment horizontal="center" vertical="center" wrapText="1"/>
    </xf>
    <xf numFmtId="3" fontId="10" fillId="0" borderId="13" xfId="15" applyNumberFormat="1" applyFont="1" applyFill="1" applyBorder="1" applyAlignment="1" applyProtection="1">
      <alignment vertical="center" wrapText="1"/>
    </xf>
    <xf numFmtId="3" fontId="46" fillId="0" borderId="13" xfId="15" applyNumberFormat="1" applyFont="1" applyFill="1" applyBorder="1" applyAlignment="1" applyProtection="1">
      <alignment horizontal="right" vertical="center"/>
    </xf>
    <xf numFmtId="4" fontId="5" fillId="0" borderId="3" xfId="15" applyNumberFormat="1" applyFont="1" applyFill="1" applyBorder="1" applyAlignment="1" applyProtection="1">
      <alignment vertical="center"/>
    </xf>
    <xf numFmtId="3" fontId="4" fillId="0" borderId="13" xfId="15" applyNumberFormat="1" applyFont="1" applyFill="1" applyBorder="1" applyAlignment="1" applyProtection="1">
      <alignment horizontal="right" vertical="center"/>
    </xf>
    <xf numFmtId="4" fontId="10" fillId="0" borderId="13" xfId="15" applyNumberFormat="1" applyFont="1" applyFill="1" applyBorder="1" applyAlignment="1" applyProtection="1">
      <alignment horizontal="center" vertical="center" wrapText="1"/>
    </xf>
    <xf numFmtId="4" fontId="10" fillId="0" borderId="11" xfId="15" applyNumberFormat="1" applyFont="1" applyFill="1" applyBorder="1" applyAlignment="1" applyProtection="1">
      <alignment vertical="center" wrapText="1"/>
    </xf>
    <xf numFmtId="3" fontId="10" fillId="0" borderId="13" xfId="15" applyNumberFormat="1" applyFont="1" applyFill="1" applyBorder="1" applyAlignment="1" applyProtection="1">
      <alignment horizontal="center" vertical="center" wrapText="1"/>
    </xf>
    <xf numFmtId="4" fontId="2" fillId="0" borderId="3" xfId="15" applyNumberFormat="1" applyFont="1" applyFill="1" applyBorder="1" applyAlignment="1" applyProtection="1">
      <alignment horizontal="center" vertical="center"/>
    </xf>
    <xf numFmtId="4" fontId="4" fillId="0" borderId="0" xfId="15" applyNumberFormat="1" applyFont="1" applyFill="1" applyBorder="1" applyAlignment="1" applyProtection="1">
      <alignment horizontal="center" vertical="center"/>
    </xf>
    <xf numFmtId="8" fontId="1" fillId="0" borderId="0" xfId="56" applyNumberFormat="1"/>
    <xf numFmtId="0" fontId="27" fillId="0" borderId="10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49" fontId="23" fillId="0" borderId="3" xfId="0" applyNumberFormat="1" applyFont="1" applyBorder="1" applyAlignment="1">
      <alignment vertical="center" wrapText="1"/>
    </xf>
    <xf numFmtId="2" fontId="23" fillId="0" borderId="3" xfId="0" applyNumberFormat="1" applyFont="1" applyBorder="1" applyAlignment="1">
      <alignment vertical="center" wrapText="1"/>
    </xf>
    <xf numFmtId="164" fontId="10" fillId="0" borderId="3" xfId="49" applyNumberFormat="1" applyFont="1" applyBorder="1" applyAlignment="1">
      <alignment horizontal="center" vertical="center"/>
    </xf>
    <xf numFmtId="164" fontId="10" fillId="0" borderId="10" xfId="49" applyNumberFormat="1" applyFont="1" applyBorder="1" applyAlignment="1">
      <alignment horizontal="center" vertical="center"/>
    </xf>
    <xf numFmtId="0" fontId="5" fillId="0" borderId="10" xfId="15" applyNumberFormat="1" applyFont="1" applyFill="1" applyBorder="1" applyAlignment="1" applyProtection="1">
      <alignment vertical="center"/>
    </xf>
    <xf numFmtId="0" fontId="5" fillId="0" borderId="11" xfId="15" applyNumberFormat="1" applyFont="1" applyFill="1" applyBorder="1" applyAlignment="1" applyProtection="1">
      <alignment vertical="center"/>
    </xf>
    <xf numFmtId="3" fontId="7" fillId="0" borderId="13" xfId="15" applyNumberFormat="1" applyFont="1" applyFill="1" applyBorder="1" applyAlignment="1" applyProtection="1">
      <alignment horizontal="center" vertical="center"/>
    </xf>
    <xf numFmtId="4" fontId="5" fillId="0" borderId="13" xfId="15" applyNumberFormat="1" applyFont="1" applyFill="1" applyBorder="1" applyAlignment="1">
      <alignment vertical="center"/>
    </xf>
    <xf numFmtId="4" fontId="7" fillId="0" borderId="3" xfId="15" applyNumberFormat="1" applyFont="1" applyFill="1" applyBorder="1" applyAlignment="1" applyProtection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vertical="center"/>
    </xf>
    <xf numFmtId="4" fontId="10" fillId="0" borderId="13" xfId="15" applyNumberFormat="1" applyFont="1" applyFill="1" applyBorder="1" applyAlignment="1">
      <alignment vertical="center" wrapText="1"/>
    </xf>
    <xf numFmtId="164" fontId="11" fillId="0" borderId="12" xfId="49" applyNumberFormat="1" applyFont="1" applyBorder="1" applyAlignment="1">
      <alignment horizontal="center" vertical="center"/>
    </xf>
    <xf numFmtId="164" fontId="11" fillId="0" borderId="9" xfId="49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center" vertical="center"/>
    </xf>
    <xf numFmtId="4" fontId="11" fillId="0" borderId="3" xfId="47" applyNumberFormat="1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3" xfId="0" quotePrefix="1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4" fontId="11" fillId="0" borderId="3" xfId="15" applyNumberFormat="1" applyFont="1" applyFill="1" applyBorder="1" applyAlignment="1" applyProtection="1">
      <alignment vertical="center"/>
    </xf>
    <xf numFmtId="4" fontId="40" fillId="0" borderId="20" xfId="0" applyNumberFormat="1" applyFont="1" applyBorder="1" applyAlignment="1">
      <alignment horizontal="center" vertical="center" wrapText="1"/>
    </xf>
    <xf numFmtId="4" fontId="0" fillId="0" borderId="19" xfId="0" applyNumberFormat="1" applyBorder="1" applyAlignment="1">
      <alignment vertical="center" wrapText="1"/>
    </xf>
    <xf numFmtId="0" fontId="11" fillId="0" borderId="14" xfId="0" quotePrefix="1" applyFont="1" applyBorder="1" applyAlignment="1">
      <alignment horizontal="center" vertical="center" wrapText="1"/>
    </xf>
    <xf numFmtId="0" fontId="11" fillId="0" borderId="16" xfId="0" quotePrefix="1" applyFont="1" applyBorder="1" applyAlignment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  <protection locked="0"/>
    </xf>
    <xf numFmtId="0" fontId="11" fillId="0" borderId="3" xfId="0" quotePrefix="1" applyFont="1" applyBorder="1" applyAlignment="1">
      <alignment horizontal="left" vertical="center" wrapText="1"/>
    </xf>
    <xf numFmtId="2" fontId="25" fillId="0" borderId="3" xfId="0" applyNumberFormat="1" applyFont="1" applyBorder="1" applyAlignment="1">
      <alignment vertical="center" wrapText="1"/>
    </xf>
    <xf numFmtId="0" fontId="11" fillId="0" borderId="15" xfId="46" applyFont="1" applyBorder="1" applyAlignment="1">
      <alignment horizontal="center" vertical="center"/>
    </xf>
    <xf numFmtId="0" fontId="11" fillId="0" borderId="7" xfId="46" applyFont="1" applyBorder="1" applyAlignment="1">
      <alignment horizontal="center" vertical="center"/>
    </xf>
    <xf numFmtId="0" fontId="4" fillId="0" borderId="13" xfId="0" applyFont="1" applyBorder="1" applyAlignment="1">
      <alignment horizontal="right" vertical="center" wrapText="1"/>
    </xf>
    <xf numFmtId="0" fontId="11" fillId="0" borderId="3" xfId="48" applyFont="1" applyBorder="1" applyAlignment="1">
      <alignment horizontal="center" vertical="center" wrapText="1"/>
    </xf>
    <xf numFmtId="4" fontId="7" fillId="0" borderId="13" xfId="48" applyNumberFormat="1" applyFont="1" applyBorder="1" applyAlignment="1">
      <alignment horizontal="center" vertical="center" wrapText="1"/>
    </xf>
    <xf numFmtId="0" fontId="7" fillId="0" borderId="13" xfId="15" applyNumberFormat="1" applyFont="1" applyFill="1" applyBorder="1" applyAlignment="1" applyProtection="1">
      <alignment horizontal="center" vertical="center"/>
    </xf>
    <xf numFmtId="0" fontId="10" fillId="0" borderId="10" xfId="0" applyFont="1" applyBorder="1" applyAlignment="1">
      <alignment vertical="center" wrapText="1"/>
    </xf>
    <xf numFmtId="4" fontId="7" fillId="0" borderId="13" xfId="15" applyNumberFormat="1" applyFont="1" applyFill="1" applyBorder="1" applyAlignment="1">
      <alignment vertical="center" wrapText="1"/>
    </xf>
    <xf numFmtId="0" fontId="11" fillId="0" borderId="12" xfId="46" applyFont="1" applyBorder="1" applyAlignment="1">
      <alignment horizontal="center" vertical="center" wrapText="1"/>
    </xf>
    <xf numFmtId="0" fontId="11" fillId="0" borderId="9" xfId="46" applyFont="1" applyBorder="1" applyAlignment="1">
      <alignment horizontal="center" vertical="center" wrapText="1"/>
    </xf>
    <xf numFmtId="0" fontId="11" fillId="0" borderId="13" xfId="46" applyFont="1" applyBorder="1" applyAlignment="1">
      <alignment vertical="center" wrapText="1"/>
    </xf>
    <xf numFmtId="0" fontId="11" fillId="0" borderId="3" xfId="46" applyFont="1" applyBorder="1" applyAlignment="1">
      <alignment horizontal="center" vertical="center" wrapText="1"/>
    </xf>
    <xf numFmtId="3" fontId="11" fillId="0" borderId="3" xfId="46" applyNumberFormat="1" applyFont="1" applyBorder="1" applyAlignment="1">
      <alignment horizontal="center" vertical="center" wrapText="1"/>
    </xf>
    <xf numFmtId="4" fontId="17" fillId="0" borderId="3" xfId="46" applyNumberFormat="1" applyFont="1" applyBorder="1" applyAlignment="1">
      <alignment horizontal="center" vertical="center" wrapText="1"/>
    </xf>
    <xf numFmtId="4" fontId="17" fillId="0" borderId="3" xfId="47" applyNumberFormat="1" applyFont="1" applyBorder="1" applyAlignment="1">
      <alignment horizontal="center" vertical="center"/>
    </xf>
    <xf numFmtId="0" fontId="11" fillId="0" borderId="14" xfId="46" applyFont="1" applyBorder="1" applyAlignment="1">
      <alignment horizontal="center" vertical="center" wrapText="1"/>
    </xf>
    <xf numFmtId="0" fontId="11" fillId="0" borderId="16" xfId="46" applyFont="1" applyBorder="1" applyAlignment="1">
      <alignment horizontal="center" vertical="center" wrapText="1"/>
    </xf>
    <xf numFmtId="0" fontId="11" fillId="0" borderId="13" xfId="46" quotePrefix="1" applyFont="1" applyBorder="1" applyAlignment="1">
      <alignment vertical="center" wrapText="1"/>
    </xf>
    <xf numFmtId="0" fontId="11" fillId="0" borderId="13" xfId="46" applyFont="1" applyBorder="1" applyAlignment="1">
      <alignment horizontal="left" vertical="center" wrapText="1"/>
    </xf>
    <xf numFmtId="0" fontId="24" fillId="0" borderId="14" xfId="0" applyFont="1" applyBorder="1" applyAlignment="1">
      <alignment vertical="center"/>
    </xf>
    <xf numFmtId="0" fontId="24" fillId="0" borderId="16" xfId="0" applyFont="1" applyBorder="1" applyAlignment="1">
      <alignment vertical="center"/>
    </xf>
    <xf numFmtId="0" fontId="11" fillId="0" borderId="13" xfId="46" quotePrefix="1" applyFont="1" applyBorder="1" applyAlignment="1">
      <alignment horizontal="left" vertical="center" wrapText="1"/>
    </xf>
    <xf numFmtId="0" fontId="11" fillId="0" borderId="14" xfId="46" applyFont="1" applyBorder="1" applyAlignment="1">
      <alignment vertical="center" wrapText="1"/>
    </xf>
    <xf numFmtId="0" fontId="11" fillId="0" borderId="16" xfId="46" applyFont="1" applyBorder="1" applyAlignment="1">
      <alignment vertical="center" wrapText="1"/>
    </xf>
    <xf numFmtId="0" fontId="11" fillId="0" borderId="3" xfId="46" quotePrefix="1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 wrapText="1"/>
    </xf>
    <xf numFmtId="0" fontId="16" fillId="0" borderId="3" xfId="0" applyFont="1" applyBorder="1" applyAlignment="1">
      <alignment wrapText="1"/>
    </xf>
    <xf numFmtId="3" fontId="10" fillId="0" borderId="3" xfId="0" applyNumberFormat="1" applyFont="1" applyBorder="1" applyAlignment="1">
      <alignment vertical="center" wrapText="1"/>
    </xf>
    <xf numFmtId="4" fontId="10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wrapText="1"/>
    </xf>
    <xf numFmtId="4" fontId="11" fillId="0" borderId="3" xfId="0" applyNumberFormat="1" applyFont="1" applyBorder="1" applyAlignment="1">
      <alignment horizontal="center"/>
    </xf>
    <xf numFmtId="0" fontId="11" fillId="0" borderId="14" xfId="0" applyFont="1" applyBorder="1" applyAlignment="1" applyProtection="1">
      <alignment horizontal="center" vertical="center" wrapText="1"/>
      <protection locked="0"/>
    </xf>
    <xf numFmtId="4" fontId="7" fillId="0" borderId="13" xfId="46" applyNumberFormat="1" applyFont="1" applyBorder="1" applyAlignment="1">
      <alignment horizontal="center" vertical="center"/>
    </xf>
    <xf numFmtId="4" fontId="5" fillId="0" borderId="13" xfId="15" applyNumberFormat="1" applyFont="1" applyFill="1" applyBorder="1" applyAlignment="1" applyProtection="1">
      <alignment vertical="center"/>
    </xf>
    <xf numFmtId="0" fontId="11" fillId="0" borderId="15" xfId="46" applyFont="1" applyBorder="1" applyAlignment="1">
      <alignment vertical="center" wrapText="1"/>
    </xf>
    <xf numFmtId="4" fontId="7" fillId="0" borderId="3" xfId="0" applyNumberFormat="1" applyFont="1" applyBorder="1" applyAlignment="1">
      <alignment wrapText="1"/>
    </xf>
    <xf numFmtId="0" fontId="41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3" xfId="47" applyNumberFormat="1" applyFont="1" applyBorder="1" applyAlignment="1">
      <alignment horizontal="center" vertical="center"/>
    </xf>
    <xf numFmtId="0" fontId="11" fillId="0" borderId="3" xfId="46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5" fillId="0" borderId="13" xfId="0" applyFont="1" applyBorder="1" applyAlignment="1">
      <alignment horizontal="right" vertical="center" wrapText="1"/>
    </xf>
    <xf numFmtId="1" fontId="10" fillId="0" borderId="3" xfId="46" applyNumberFormat="1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center"/>
    </xf>
    <xf numFmtId="4" fontId="10" fillId="0" borderId="3" xfId="47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wrapText="1"/>
    </xf>
    <xf numFmtId="0" fontId="41" fillId="0" borderId="1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 wrapText="1"/>
    </xf>
    <xf numFmtId="49" fontId="41" fillId="0" borderId="3" xfId="0" applyNumberFormat="1" applyFont="1" applyBorder="1" applyAlignment="1">
      <alignment horizontal="center" vertical="center" wrapText="1"/>
    </xf>
    <xf numFmtId="3" fontId="11" fillId="0" borderId="13" xfId="15" applyNumberFormat="1" applyFont="1" applyFill="1" applyBorder="1" applyAlignment="1" applyProtection="1">
      <alignment horizontal="right" vertical="center"/>
    </xf>
    <xf numFmtId="0" fontId="17" fillId="0" borderId="13" xfId="15" applyNumberFormat="1" applyFont="1" applyFill="1" applyBorder="1" applyAlignment="1" applyProtection="1">
      <alignment horizontal="center" vertical="center"/>
    </xf>
    <xf numFmtId="0" fontId="11" fillId="0" borderId="13" xfId="15" applyNumberFormat="1" applyFont="1" applyFill="1" applyBorder="1" applyAlignment="1" applyProtection="1">
      <alignment vertical="center" wrapText="1"/>
    </xf>
    <xf numFmtId="3" fontId="11" fillId="0" borderId="3" xfId="0" applyNumberFormat="1" applyFont="1" applyBorder="1" applyAlignment="1">
      <alignment wrapText="1"/>
    </xf>
    <xf numFmtId="4" fontId="7" fillId="0" borderId="13" xfId="15" applyNumberFormat="1" applyFont="1" applyFill="1" applyBorder="1" applyAlignment="1" applyProtection="1">
      <alignment horizontal="center" vertical="center"/>
    </xf>
    <xf numFmtId="49" fontId="43" fillId="0" borderId="3" xfId="0" applyNumberFormat="1" applyFont="1" applyBorder="1" applyAlignment="1">
      <alignment vertical="center" wrapText="1"/>
    </xf>
    <xf numFmtId="0" fontId="43" fillId="0" borderId="14" xfId="0" applyFont="1" applyBorder="1" applyAlignment="1" applyProtection="1">
      <alignment horizontal="center" vertical="center" wrapText="1"/>
      <protection locked="0"/>
    </xf>
    <xf numFmtId="0" fontId="43" fillId="0" borderId="3" xfId="0" quotePrefix="1" applyFont="1" applyBorder="1" applyAlignment="1">
      <alignment horizontal="left" vertical="center" wrapText="1"/>
    </xf>
    <xf numFmtId="0" fontId="43" fillId="0" borderId="3" xfId="0" applyFont="1" applyBorder="1" applyAlignment="1">
      <alignment horizontal="center" vertical="center" wrapText="1"/>
    </xf>
    <xf numFmtId="4" fontId="43" fillId="0" borderId="3" xfId="15" applyNumberFormat="1" applyFont="1" applyFill="1" applyBorder="1" applyAlignment="1" applyProtection="1">
      <alignment horizontal="center" vertical="center"/>
    </xf>
    <xf numFmtId="4" fontId="44" fillId="0" borderId="3" xfId="0" applyNumberFormat="1" applyFont="1" applyBorder="1" applyAlignment="1">
      <alignment horizontal="center" vertical="center" wrapText="1"/>
    </xf>
    <xf numFmtId="4" fontId="44" fillId="0" borderId="3" xfId="15" applyNumberFormat="1" applyFont="1" applyFill="1" applyBorder="1" applyAlignment="1" applyProtection="1">
      <alignment horizontal="center" vertical="center"/>
    </xf>
    <xf numFmtId="4" fontId="43" fillId="0" borderId="3" xfId="15" applyNumberFormat="1" applyFont="1" applyFill="1" applyBorder="1" applyAlignment="1" applyProtection="1">
      <alignment vertical="center"/>
    </xf>
    <xf numFmtId="3" fontId="46" fillId="0" borderId="3" xfId="0" applyNumberFormat="1" applyFont="1" applyBorder="1" applyAlignment="1">
      <alignment vertical="center" wrapText="1"/>
    </xf>
    <xf numFmtId="4" fontId="17" fillId="0" borderId="3" xfId="0" applyNumberFormat="1" applyFont="1" applyBorder="1" applyAlignment="1">
      <alignment wrapText="1"/>
    </xf>
    <xf numFmtId="4" fontId="10" fillId="0" borderId="3" xfId="0" applyNumberFormat="1" applyFont="1" applyBorder="1" applyAlignment="1">
      <alignment horizontal="center" vertical="center"/>
    </xf>
    <xf numFmtId="4" fontId="47" fillId="0" borderId="20" xfId="0" applyNumberFormat="1" applyFont="1" applyBorder="1" applyAlignment="1">
      <alignment horizontal="center" vertical="center" wrapText="1"/>
    </xf>
    <xf numFmtId="4" fontId="48" fillId="0" borderId="19" xfId="0" applyNumberFormat="1" applyFont="1" applyBorder="1" applyAlignment="1">
      <alignment vertical="top" wrapText="1"/>
    </xf>
    <xf numFmtId="4" fontId="11" fillId="0" borderId="3" xfId="46" applyNumberFormat="1" applyFont="1" applyBorder="1" applyAlignment="1">
      <alignment horizontal="center" vertical="center" wrapText="1"/>
    </xf>
    <xf numFmtId="3" fontId="7" fillId="0" borderId="13" xfId="15" applyNumberFormat="1" applyFont="1" applyFill="1" applyBorder="1" applyAlignment="1">
      <alignment horizontal="center" vertical="center"/>
    </xf>
    <xf numFmtId="3" fontId="10" fillId="0" borderId="13" xfId="15" applyNumberFormat="1" applyFont="1" applyFill="1" applyBorder="1" applyAlignment="1">
      <alignment vertical="center" wrapText="1"/>
    </xf>
    <xf numFmtId="4" fontId="11" fillId="0" borderId="3" xfId="15" applyNumberFormat="1" applyFont="1" applyFill="1" applyBorder="1" applyAlignment="1">
      <alignment vertical="center"/>
    </xf>
    <xf numFmtId="4" fontId="11" fillId="0" borderId="3" xfId="0" applyNumberFormat="1" applyFont="1" applyBorder="1" applyAlignment="1">
      <alignment horizontal="center" vertical="center" wrapText="1"/>
    </xf>
    <xf numFmtId="4" fontId="2" fillId="0" borderId="3" xfId="15" applyNumberFormat="1" applyFont="1" applyFill="1" applyBorder="1" applyAlignment="1" applyProtection="1">
      <alignment vertical="center"/>
    </xf>
    <xf numFmtId="3" fontId="10" fillId="0" borderId="13" xfId="15" applyNumberFormat="1" applyFont="1" applyFill="1" applyBorder="1" applyAlignment="1">
      <alignment horizontal="right" vertical="center"/>
    </xf>
    <xf numFmtId="0" fontId="7" fillId="0" borderId="13" xfId="15" applyFont="1" applyFill="1" applyBorder="1" applyAlignment="1">
      <alignment horizontal="center" vertical="center"/>
    </xf>
    <xf numFmtId="0" fontId="10" fillId="0" borderId="13" xfId="15" applyFont="1" applyFill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" fontId="40" fillId="0" borderId="20" xfId="0" applyNumberFormat="1" applyFont="1" applyBorder="1" applyAlignment="1">
      <alignment vertical="center" wrapText="1"/>
    </xf>
    <xf numFmtId="4" fontId="7" fillId="0" borderId="3" xfId="0" applyNumberFormat="1" applyFont="1" applyBorder="1" applyAlignment="1">
      <alignment vertical="center"/>
    </xf>
    <xf numFmtId="4" fontId="7" fillId="0" borderId="3" xfId="47" applyNumberFormat="1" applyFont="1" applyBorder="1" applyAlignment="1">
      <alignment vertical="center"/>
    </xf>
    <xf numFmtId="4" fontId="7" fillId="0" borderId="3" xfId="15" applyNumberFormat="1" applyFont="1" applyFill="1" applyBorder="1" applyAlignment="1" applyProtection="1">
      <alignment vertical="center"/>
    </xf>
    <xf numFmtId="4" fontId="17" fillId="0" borderId="3" xfId="46" applyNumberFormat="1" applyFont="1" applyBorder="1" applyAlignment="1">
      <alignment vertical="center" wrapText="1"/>
    </xf>
    <xf numFmtId="4" fontId="17" fillId="0" borderId="3" xfId="47" applyNumberFormat="1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1" fontId="10" fillId="0" borderId="3" xfId="0" applyNumberFormat="1" applyFont="1" applyBorder="1" applyAlignment="1">
      <alignment horizontal="right" vertical="center" wrapText="1"/>
    </xf>
    <xf numFmtId="4" fontId="7" fillId="0" borderId="3" xfId="0" applyNumberFormat="1" applyFont="1" applyBorder="1" applyAlignment="1">
      <alignment vertical="center" wrapText="1"/>
    </xf>
    <xf numFmtId="4" fontId="0" fillId="0" borderId="19" xfId="0" applyNumberFormat="1" applyBorder="1" applyAlignment="1">
      <alignment vertical="top" wrapText="1"/>
    </xf>
    <xf numFmtId="4" fontId="7" fillId="0" borderId="3" xfId="0" applyNumberFormat="1" applyFont="1" applyBorder="1" applyAlignment="1">
      <alignment horizontal="center"/>
    </xf>
    <xf numFmtId="0" fontId="11" fillId="0" borderId="7" xfId="46" applyFont="1" applyBorder="1" applyAlignment="1">
      <alignment vertical="center" wrapText="1"/>
    </xf>
    <xf numFmtId="4" fontId="11" fillId="0" borderId="3" xfId="15" applyNumberFormat="1" applyFont="1" applyFill="1" applyBorder="1" applyAlignment="1">
      <alignment horizontal="center" vertical="center"/>
    </xf>
    <xf numFmtId="4" fontId="17" fillId="0" borderId="3" xfId="0" applyNumberFormat="1" applyFont="1" applyBorder="1" applyAlignment="1">
      <alignment horizontal="center" wrapText="1"/>
    </xf>
    <xf numFmtId="4" fontId="0" fillId="0" borderId="3" xfId="15" applyNumberFormat="1" applyFont="1" applyFill="1" applyBorder="1" applyAlignment="1" applyProtection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4" fontId="40" fillId="0" borderId="20" xfId="0" applyNumberFormat="1" applyFont="1" applyBorder="1" applyAlignment="1">
      <alignment horizontal="right" wrapText="1"/>
    </xf>
    <xf numFmtId="4" fontId="0" fillId="0" borderId="19" xfId="0" applyNumberFormat="1" applyBorder="1" applyAlignment="1">
      <alignment horizontal="right" wrapText="1"/>
    </xf>
    <xf numFmtId="0" fontId="11" fillId="0" borderId="15" xfId="0" quotePrefix="1" applyFont="1" applyBorder="1" applyAlignment="1">
      <alignment horizontal="center" vertical="center" wrapText="1"/>
    </xf>
    <xf numFmtId="0" fontId="11" fillId="0" borderId="7" xfId="0" quotePrefix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right"/>
    </xf>
    <xf numFmtId="4" fontId="7" fillId="0" borderId="3" xfId="47" applyNumberFormat="1" applyFont="1" applyBorder="1" applyAlignment="1">
      <alignment horizontal="right"/>
    </xf>
    <xf numFmtId="4" fontId="5" fillId="0" borderId="13" xfId="15" applyNumberFormat="1" applyFont="1" applyFill="1" applyBorder="1" applyAlignment="1" applyProtection="1">
      <alignment horizontal="right"/>
    </xf>
    <xf numFmtId="4" fontId="7" fillId="0" borderId="3" xfId="15" applyNumberFormat="1" applyFont="1" applyFill="1" applyBorder="1" applyAlignment="1" applyProtection="1">
      <alignment horizontal="right"/>
    </xf>
    <xf numFmtId="4" fontId="7" fillId="0" borderId="13" xfId="15" applyNumberFormat="1" applyFont="1" applyFill="1" applyBorder="1" applyAlignment="1" applyProtection="1">
      <alignment horizontal="right" wrapText="1"/>
    </xf>
    <xf numFmtId="4" fontId="17" fillId="0" borderId="3" xfId="46" applyNumberFormat="1" applyFont="1" applyBorder="1" applyAlignment="1">
      <alignment horizontal="right" wrapText="1"/>
    </xf>
    <xf numFmtId="4" fontId="17" fillId="0" borderId="3" xfId="47" applyNumberFormat="1" applyFont="1" applyBorder="1" applyAlignment="1">
      <alignment horizontal="right"/>
    </xf>
    <xf numFmtId="4" fontId="10" fillId="0" borderId="13" xfId="46" applyNumberFormat="1" applyFont="1" applyBorder="1" applyAlignment="1">
      <alignment horizontal="center" vertical="center"/>
    </xf>
    <xf numFmtId="4" fontId="5" fillId="0" borderId="3" xfId="15" applyNumberFormat="1" applyFont="1" applyFill="1" applyBorder="1" applyAlignment="1" applyProtection="1">
      <alignment horizontal="right" vertical="center"/>
    </xf>
    <xf numFmtId="0" fontId="11" fillId="0" borderId="3" xfId="0" applyFont="1" applyBorder="1" applyAlignment="1">
      <alignment vertical="center" wrapText="1"/>
    </xf>
    <xf numFmtId="0" fontId="11" fillId="0" borderId="3" xfId="0" applyFont="1" applyBorder="1" applyAlignment="1" applyProtection="1">
      <alignment horizontal="center" vertical="center"/>
      <protection locked="0"/>
    </xf>
    <xf numFmtId="4" fontId="11" fillId="0" borderId="3" xfId="0" applyNumberFormat="1" applyFont="1" applyBorder="1" applyAlignment="1" applyProtection="1">
      <alignment horizontal="center" vertical="center"/>
      <protection locked="0"/>
    </xf>
    <xf numFmtId="49" fontId="25" fillId="0" borderId="3" xfId="0" applyNumberFormat="1" applyFont="1" applyBorder="1" applyAlignment="1">
      <alignment horizontal="left" vertical="center" wrapText="1"/>
    </xf>
    <xf numFmtId="0" fontId="11" fillId="0" borderId="15" xfId="46" applyFont="1" applyBorder="1" applyAlignment="1">
      <alignment horizontal="center" vertical="center" wrapText="1"/>
    </xf>
    <xf numFmtId="0" fontId="11" fillId="0" borderId="3" xfId="58" applyFont="1" applyBorder="1" applyAlignment="1">
      <alignment horizontal="center" vertical="center"/>
    </xf>
    <xf numFmtId="0" fontId="16" fillId="0" borderId="3" xfId="0" applyFont="1" applyBorder="1" applyAlignment="1">
      <alignment vertical="center" wrapText="1"/>
    </xf>
    <xf numFmtId="4" fontId="50" fillId="0" borderId="20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4" fillId="0" borderId="13" xfId="15" applyNumberFormat="1" applyFont="1" applyFill="1" applyBorder="1" applyAlignment="1" applyProtection="1">
      <alignment horizontal="center" vertical="center"/>
    </xf>
    <xf numFmtId="4" fontId="10" fillId="0" borderId="3" xfId="15" applyNumberFormat="1" applyFont="1" applyFill="1" applyBorder="1" applyAlignment="1" applyProtection="1">
      <alignment horizontal="center" vertical="center"/>
    </xf>
    <xf numFmtId="3" fontId="11" fillId="0" borderId="3" xfId="46" applyNumberFormat="1" applyFont="1" applyBorder="1" applyAlignment="1">
      <alignment horizontal="center" vertical="center"/>
    </xf>
    <xf numFmtId="4" fontId="11" fillId="0" borderId="3" xfId="46" applyNumberFormat="1" applyFon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 wrapText="1"/>
    </xf>
    <xf numFmtId="4" fontId="5" fillId="0" borderId="13" xfId="15" applyNumberFormat="1" applyFont="1" applyFill="1" applyBorder="1" applyAlignment="1" applyProtection="1">
      <alignment horizontal="center" vertical="center"/>
    </xf>
    <xf numFmtId="0" fontId="24" fillId="0" borderId="15" xfId="0" applyFont="1" applyBorder="1" applyAlignment="1">
      <alignment vertical="center"/>
    </xf>
    <xf numFmtId="0" fontId="24" fillId="0" borderId="7" xfId="0" applyFont="1" applyBorder="1" applyAlignment="1">
      <alignment vertical="center"/>
    </xf>
    <xf numFmtId="0" fontId="11" fillId="0" borderId="3" xfId="0" applyFont="1" applyBorder="1" applyAlignment="1">
      <alignment horizontal="right" vertical="center" wrapText="1"/>
    </xf>
    <xf numFmtId="4" fontId="2" fillId="0" borderId="3" xfId="15" applyNumberFormat="1" applyFont="1" applyFill="1" applyBorder="1" applyAlignment="1" applyProtection="1">
      <alignment horizontal="right" vertical="center"/>
    </xf>
    <xf numFmtId="4" fontId="50" fillId="0" borderId="20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wrapText="1"/>
    </xf>
    <xf numFmtId="0" fontId="11" fillId="0" borderId="3" xfId="48" applyFont="1" applyBorder="1" applyAlignment="1">
      <alignment horizontal="right" vertical="center" wrapText="1"/>
    </xf>
    <xf numFmtId="4" fontId="10" fillId="0" borderId="3" xfId="0" applyNumberFormat="1" applyFont="1" applyBorder="1" applyAlignment="1">
      <alignment horizontal="right" vertical="center"/>
    </xf>
    <xf numFmtId="4" fontId="10" fillId="0" borderId="3" xfId="47" applyNumberFormat="1" applyFont="1" applyBorder="1" applyAlignment="1">
      <alignment horizontal="right" vertical="center"/>
    </xf>
    <xf numFmtId="0" fontId="5" fillId="0" borderId="11" xfId="15" applyNumberFormat="1" applyFont="1" applyFill="1" applyBorder="1" applyAlignment="1" applyProtection="1">
      <alignment horizontal="right" vertical="center"/>
    </xf>
    <xf numFmtId="4" fontId="7" fillId="0" borderId="13" xfId="15" applyNumberFormat="1" applyFont="1" applyFill="1" applyBorder="1" applyAlignment="1" applyProtection="1">
      <alignment horizontal="right" vertical="center"/>
    </xf>
    <xf numFmtId="4" fontId="4" fillId="0" borderId="13" xfId="15" applyNumberFormat="1" applyFont="1" applyFill="1" applyBorder="1" applyAlignment="1" applyProtection="1">
      <alignment horizontal="right" vertical="center"/>
    </xf>
    <xf numFmtId="4" fontId="10" fillId="0" borderId="3" xfId="15" applyNumberFormat="1" applyFont="1" applyFill="1" applyBorder="1" applyAlignment="1" applyProtection="1">
      <alignment horizontal="right" vertical="center"/>
    </xf>
    <xf numFmtId="0" fontId="10" fillId="0" borderId="11" xfId="15" applyNumberFormat="1" applyFont="1" applyFill="1" applyBorder="1" applyAlignment="1" applyProtection="1">
      <alignment horizontal="right" vertical="center" wrapText="1"/>
    </xf>
    <xf numFmtId="4" fontId="10" fillId="0" borderId="11" xfId="15" applyNumberFormat="1" applyFont="1" applyFill="1" applyBorder="1" applyAlignment="1" applyProtection="1">
      <alignment horizontal="right" vertical="center" wrapText="1"/>
    </xf>
    <xf numFmtId="4" fontId="10" fillId="0" borderId="13" xfId="15" applyNumberFormat="1" applyFont="1" applyFill="1" applyBorder="1" applyAlignment="1" applyProtection="1">
      <alignment horizontal="right" vertical="center" wrapText="1"/>
    </xf>
    <xf numFmtId="0" fontId="11" fillId="0" borderId="13" xfId="46" applyFont="1" applyBorder="1" applyAlignment="1">
      <alignment wrapText="1"/>
    </xf>
    <xf numFmtId="0" fontId="11" fillId="0" borderId="3" xfId="46" applyFont="1" applyBorder="1" applyAlignment="1">
      <alignment horizontal="right" vertical="center" wrapText="1"/>
    </xf>
    <xf numFmtId="3" fontId="11" fillId="0" borderId="3" xfId="46" applyNumberFormat="1" applyFont="1" applyBorder="1" applyAlignment="1">
      <alignment horizontal="right" vertical="center" wrapText="1"/>
    </xf>
    <xf numFmtId="4" fontId="11" fillId="0" borderId="3" xfId="46" applyNumberFormat="1" applyFont="1" applyBorder="1" applyAlignment="1">
      <alignment horizontal="right" vertical="center" wrapText="1"/>
    </xf>
    <xf numFmtId="4" fontId="11" fillId="0" borderId="3" xfId="47" applyNumberFormat="1" applyFont="1" applyBorder="1" applyAlignment="1">
      <alignment horizontal="right" vertical="center"/>
    </xf>
    <xf numFmtId="0" fontId="11" fillId="0" borderId="13" xfId="46" quotePrefix="1" applyFont="1" applyBorder="1" applyAlignment="1">
      <alignment wrapText="1"/>
    </xf>
    <xf numFmtId="0" fontId="11" fillId="0" borderId="13" xfId="46" quotePrefix="1" applyFont="1" applyBorder="1" applyAlignment="1">
      <alignment horizontal="left" wrapText="1"/>
    </xf>
    <xf numFmtId="4" fontId="8" fillId="0" borderId="3" xfId="0" applyNumberFormat="1" applyFont="1" applyBorder="1" applyAlignment="1">
      <alignment vertical="center" wrapText="1"/>
    </xf>
    <xf numFmtId="4" fontId="48" fillId="0" borderId="19" xfId="0" applyNumberFormat="1" applyFont="1" applyBorder="1" applyAlignment="1">
      <alignment horizontal="center" vertical="center" wrapText="1"/>
    </xf>
    <xf numFmtId="2" fontId="23" fillId="0" borderId="0" xfId="0" applyNumberFormat="1" applyFont="1" applyAlignment="1">
      <alignment vertical="center" wrapText="1"/>
    </xf>
    <xf numFmtId="0" fontId="8" fillId="0" borderId="0" xfId="0" applyFont="1" applyAlignment="1">
      <alignment horizontal="right" vertical="center" wrapText="1"/>
    </xf>
    <xf numFmtId="4" fontId="51" fillId="0" borderId="3" xfId="0" applyNumberFormat="1" applyFont="1" applyBorder="1" applyAlignment="1">
      <alignment wrapText="1"/>
    </xf>
    <xf numFmtId="4" fontId="48" fillId="0" borderId="19" xfId="0" applyNumberFormat="1" applyFont="1" applyBorder="1" applyAlignment="1">
      <alignment vertical="center" wrapText="1"/>
    </xf>
    <xf numFmtId="4" fontId="11" fillId="0" borderId="13" xfId="46" applyNumberFormat="1" applyFont="1" applyBorder="1" applyAlignment="1">
      <alignment horizontal="center" vertical="center"/>
    </xf>
    <xf numFmtId="1" fontId="11" fillId="0" borderId="3" xfId="46" applyNumberFormat="1" applyFont="1" applyBorder="1" applyAlignment="1">
      <alignment horizontal="center" vertical="center"/>
    </xf>
    <xf numFmtId="49" fontId="53" fillId="0" borderId="3" xfId="0" applyNumberFormat="1" applyFont="1" applyBorder="1" applyAlignment="1">
      <alignment horizontal="center" vertical="center"/>
    </xf>
    <xf numFmtId="49" fontId="54" fillId="0" borderId="3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55" fillId="0" borderId="3" xfId="0" applyFont="1" applyBorder="1" applyAlignment="1">
      <alignment horizontal="center" vertical="center" wrapText="1"/>
    </xf>
    <xf numFmtId="0" fontId="56" fillId="0" borderId="3" xfId="59" applyFont="1" applyBorder="1" applyAlignment="1">
      <alignment horizontal="right" vertical="center" wrapText="1"/>
    </xf>
    <xf numFmtId="0" fontId="11" fillId="0" borderId="3" xfId="59" applyFont="1" applyBorder="1" applyAlignment="1">
      <alignment horizontal="center" vertical="center"/>
    </xf>
    <xf numFmtId="4" fontId="11" fillId="0" borderId="3" xfId="59" applyNumberFormat="1" applyFont="1" applyBorder="1" applyAlignment="1">
      <alignment horizontal="center" vertical="center"/>
    </xf>
    <xf numFmtId="49" fontId="43" fillId="0" borderId="3" xfId="0" applyNumberFormat="1" applyFont="1" applyBorder="1" applyAlignment="1">
      <alignment horizontal="center" vertical="center" wrapText="1"/>
    </xf>
    <xf numFmtId="0" fontId="57" fillId="0" borderId="3" xfId="0" applyFont="1" applyBorder="1" applyAlignment="1">
      <alignment horizontal="center" vertical="center" wrapText="1"/>
    </xf>
    <xf numFmtId="0" fontId="43" fillId="0" borderId="3" xfId="0" applyFont="1" applyBorder="1" applyAlignment="1">
      <alignment vertical="center" wrapText="1"/>
    </xf>
    <xf numFmtId="0" fontId="58" fillId="0" borderId="3" xfId="59" applyFont="1" applyBorder="1" applyAlignment="1">
      <alignment horizontal="right" vertical="center" wrapText="1"/>
    </xf>
    <xf numFmtId="0" fontId="43" fillId="0" borderId="3" xfId="59" applyFont="1" applyBorder="1" applyAlignment="1">
      <alignment horizontal="center" vertical="center"/>
    </xf>
    <xf numFmtId="4" fontId="43" fillId="0" borderId="3" xfId="59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59" fillId="0" borderId="3" xfId="0" applyFont="1" applyBorder="1" applyAlignment="1">
      <alignment horizontal="center" vertical="center" wrapText="1"/>
    </xf>
    <xf numFmtId="0" fontId="56" fillId="0" borderId="3" xfId="59" applyFont="1" applyBorder="1" applyAlignment="1">
      <alignment horizontal="right" vertical="top" wrapText="1"/>
    </xf>
    <xf numFmtId="0" fontId="0" fillId="0" borderId="0" xfId="0" applyAlignment="1">
      <alignment horizontal="center"/>
    </xf>
    <xf numFmtId="0" fontId="5" fillId="0" borderId="0" xfId="0" applyFont="1"/>
    <xf numFmtId="4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vertical="top" wrapText="1"/>
    </xf>
    <xf numFmtId="49" fontId="27" fillId="0" borderId="13" xfId="0" applyNumberFormat="1" applyFont="1" applyBorder="1" applyAlignment="1">
      <alignment horizontal="center" vertical="center"/>
    </xf>
    <xf numFmtId="1" fontId="5" fillId="0" borderId="3" xfId="15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60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60" fillId="0" borderId="12" xfId="0" applyFont="1" applyBorder="1" applyAlignment="1">
      <alignment horizontal="center" vertical="center" wrapText="1"/>
    </xf>
    <xf numFmtId="1" fontId="27" fillId="0" borderId="10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" fontId="2" fillId="0" borderId="3" xfId="0" quotePrefix="1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60" fillId="0" borderId="3" xfId="0" applyNumberFormat="1" applyFont="1" applyBorder="1" applyAlignment="1">
      <alignment horizontal="center" vertical="center" wrapText="1"/>
    </xf>
    <xf numFmtId="4" fontId="43" fillId="0" borderId="3" xfId="0" applyNumberFormat="1" applyFont="1" applyBorder="1" applyAlignment="1">
      <alignment horizontal="center" vertical="center" wrapText="1"/>
    </xf>
    <xf numFmtId="1" fontId="2" fillId="0" borderId="3" xfId="0" quotePrefix="1" applyNumberFormat="1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/>
    </xf>
    <xf numFmtId="0" fontId="61" fillId="0" borderId="0" xfId="0" applyFont="1" applyAlignment="1">
      <alignment horizontal="center"/>
    </xf>
    <xf numFmtId="4" fontId="61" fillId="0" borderId="0" xfId="0" applyNumberFormat="1" applyFont="1" applyAlignment="1">
      <alignment horizontal="center"/>
    </xf>
    <xf numFmtId="0" fontId="36" fillId="0" borderId="10" xfId="56" applyFont="1" applyBorder="1" applyAlignment="1">
      <alignment horizontal="left" vertical="center" wrapText="1" readingOrder="1"/>
    </xf>
    <xf numFmtId="0" fontId="36" fillId="0" borderId="11" xfId="56" applyFont="1" applyBorder="1" applyAlignment="1">
      <alignment horizontal="left" vertical="center" wrapText="1" readingOrder="1"/>
    </xf>
    <xf numFmtId="0" fontId="36" fillId="0" borderId="13" xfId="56" applyFont="1" applyBorder="1" applyAlignment="1">
      <alignment horizontal="left" vertical="center" wrapText="1" readingOrder="1"/>
    </xf>
    <xf numFmtId="8" fontId="38" fillId="0" borderId="3" xfId="56" applyNumberFormat="1" applyFont="1" applyBorder="1" applyAlignment="1">
      <alignment horizontal="right" vertical="center" wrapText="1" readingOrder="1"/>
    </xf>
    <xf numFmtId="0" fontId="38" fillId="0" borderId="3" xfId="56" applyFont="1" applyBorder="1" applyAlignment="1">
      <alignment horizontal="right" vertical="center" wrapText="1" readingOrder="1"/>
    </xf>
    <xf numFmtId="0" fontId="37" fillId="0" borderId="10" xfId="56" applyFont="1" applyBorder="1" applyAlignment="1">
      <alignment horizontal="left" vertical="top" wrapText="1" readingOrder="1"/>
    </xf>
    <xf numFmtId="0" fontId="37" fillId="0" borderId="11" xfId="56" applyFont="1" applyBorder="1" applyAlignment="1">
      <alignment horizontal="left" vertical="top" wrapText="1" readingOrder="1"/>
    </xf>
    <xf numFmtId="49" fontId="31" fillId="0" borderId="10" xfId="56" applyNumberFormat="1" applyFont="1" applyBorder="1" applyAlignment="1">
      <alignment horizontal="left" vertical="center" wrapText="1" readingOrder="1"/>
    </xf>
    <xf numFmtId="0" fontId="31" fillId="0" borderId="11" xfId="56" applyFont="1" applyBorder="1" applyAlignment="1">
      <alignment horizontal="left" vertical="center" wrapText="1" readingOrder="1"/>
    </xf>
    <xf numFmtId="0" fontId="31" fillId="0" borderId="13" xfId="56" applyFont="1" applyBorder="1" applyAlignment="1">
      <alignment horizontal="left" vertical="center" wrapText="1" readingOrder="1"/>
    </xf>
    <xf numFmtId="0" fontId="34" fillId="0" borderId="8" xfId="56" applyFont="1" applyBorder="1" applyAlignment="1">
      <alignment horizontal="left"/>
    </xf>
    <xf numFmtId="0" fontId="34" fillId="0" borderId="17" xfId="56" applyFont="1" applyBorder="1" applyAlignment="1">
      <alignment horizontal="left"/>
    </xf>
    <xf numFmtId="0" fontId="34" fillId="0" borderId="9" xfId="56" applyFont="1" applyBorder="1" applyAlignment="1">
      <alignment horizontal="left"/>
    </xf>
    <xf numFmtId="0" fontId="35" fillId="0" borderId="4" xfId="56" applyFont="1" applyBorder="1" applyAlignment="1">
      <alignment horizontal="center" vertical="top" wrapText="1" readingOrder="1"/>
    </xf>
    <xf numFmtId="0" fontId="35" fillId="0" borderId="0" xfId="56" applyFont="1" applyAlignment="1">
      <alignment horizontal="center" vertical="top" wrapText="1" readingOrder="1"/>
    </xf>
    <xf numFmtId="0" fontId="35" fillId="0" borderId="16" xfId="56" applyFont="1" applyBorder="1" applyAlignment="1">
      <alignment horizontal="center" vertical="top" wrapText="1" readingOrder="1"/>
    </xf>
    <xf numFmtId="0" fontId="39" fillId="0" borderId="5" xfId="0" applyFont="1" applyBorder="1" applyAlignment="1">
      <alignment horizontal="center" vertical="center"/>
    </xf>
    <xf numFmtId="0" fontId="39" fillId="0" borderId="6" xfId="0" applyFont="1" applyBorder="1" applyAlignment="1">
      <alignment horizontal="center" vertical="center"/>
    </xf>
    <xf numFmtId="0" fontId="39" fillId="0" borderId="18" xfId="0" applyFont="1" applyBorder="1" applyAlignment="1">
      <alignment horizontal="center" vertical="center"/>
    </xf>
    <xf numFmtId="0" fontId="31" fillId="0" borderId="8" xfId="56" applyFont="1" applyBorder="1" applyAlignment="1">
      <alignment horizontal="left" vertical="top" wrapText="1"/>
    </xf>
    <xf numFmtId="0" fontId="31" fillId="0" borderId="17" xfId="56" applyFont="1" applyBorder="1" applyAlignment="1">
      <alignment horizontal="left" vertical="top" wrapText="1"/>
    </xf>
    <xf numFmtId="0" fontId="31" fillId="0" borderId="9" xfId="56" applyFont="1" applyBorder="1" applyAlignment="1">
      <alignment horizontal="left" vertical="top" wrapText="1"/>
    </xf>
    <xf numFmtId="0" fontId="26" fillId="0" borderId="4" xfId="56" applyFont="1" applyBorder="1" applyAlignment="1">
      <alignment horizontal="center" vertical="top" wrapText="1"/>
    </xf>
    <xf numFmtId="0" fontId="26" fillId="0" borderId="0" xfId="56" applyFont="1" applyAlignment="1">
      <alignment horizontal="center" vertical="top" wrapText="1"/>
    </xf>
    <xf numFmtId="0" fontId="26" fillId="0" borderId="16" xfId="56" applyFont="1" applyBorder="1" applyAlignment="1">
      <alignment horizontal="center" vertical="top" wrapText="1"/>
    </xf>
    <xf numFmtId="0" fontId="26" fillId="0" borderId="5" xfId="56" applyFont="1" applyBorder="1" applyAlignment="1">
      <alignment horizontal="center" vertical="top" wrapText="1"/>
    </xf>
    <xf numFmtId="0" fontId="26" fillId="0" borderId="6" xfId="56" applyFont="1" applyBorder="1" applyAlignment="1">
      <alignment horizontal="center" vertical="top" wrapText="1"/>
    </xf>
    <xf numFmtId="0" fontId="26" fillId="0" borderId="7" xfId="56" applyFont="1" applyBorder="1" applyAlignment="1">
      <alignment horizontal="center" vertical="top" wrapText="1"/>
    </xf>
    <xf numFmtId="0" fontId="33" fillId="0" borderId="4" xfId="56" applyFont="1" applyBorder="1" applyAlignment="1">
      <alignment horizontal="left" vertical="top" wrapText="1"/>
    </xf>
    <xf numFmtId="0" fontId="33" fillId="0" borderId="0" xfId="56" applyFont="1" applyAlignment="1">
      <alignment horizontal="left" vertical="top" wrapText="1"/>
    </xf>
    <xf numFmtId="0" fontId="33" fillId="0" borderId="16" xfId="56" applyFont="1" applyBorder="1" applyAlignment="1">
      <alignment horizontal="left" vertical="top" wrapText="1"/>
    </xf>
    <xf numFmtId="0" fontId="32" fillId="0" borderId="5" xfId="56" applyFont="1" applyBorder="1" applyAlignment="1">
      <alignment horizontal="center" vertical="center" wrapText="1"/>
    </xf>
    <xf numFmtId="0" fontId="32" fillId="0" borderId="6" xfId="56" applyFont="1" applyBorder="1" applyAlignment="1">
      <alignment horizontal="center" vertical="center" wrapText="1"/>
    </xf>
    <xf numFmtId="0" fontId="32" fillId="0" borderId="7" xfId="56" applyFont="1" applyBorder="1" applyAlignment="1">
      <alignment horizontal="center" vertical="center" wrapText="1"/>
    </xf>
    <xf numFmtId="0" fontId="28" fillId="0" borderId="4" xfId="56" applyFont="1" applyBorder="1" applyAlignment="1">
      <alignment horizontal="center" vertical="top" wrapText="1"/>
    </xf>
    <xf numFmtId="0" fontId="33" fillId="0" borderId="0" xfId="56" applyFont="1" applyAlignment="1">
      <alignment horizontal="center" vertical="top" wrapText="1"/>
    </xf>
    <xf numFmtId="0" fontId="33" fillId="0" borderId="16" xfId="56" applyFont="1" applyBorder="1" applyAlignment="1">
      <alignment horizontal="center" vertical="top" wrapText="1"/>
    </xf>
    <xf numFmtId="0" fontId="1" fillId="0" borderId="9" xfId="56" applyBorder="1" applyAlignment="1">
      <alignment vertical="top" wrapText="1"/>
    </xf>
    <xf numFmtId="0" fontId="24" fillId="0" borderId="8" xfId="56" applyFont="1" applyBorder="1" applyAlignment="1">
      <alignment horizontal="center" vertical="top" wrapText="1" readingOrder="1"/>
    </xf>
    <xf numFmtId="0" fontId="24" fillId="0" borderId="17" xfId="56" applyFont="1" applyBorder="1" applyAlignment="1">
      <alignment horizontal="center" vertical="top" wrapText="1" readingOrder="1"/>
    </xf>
    <xf numFmtId="0" fontId="24" fillId="0" borderId="9" xfId="56" applyFont="1" applyBorder="1" applyAlignment="1">
      <alignment horizontal="center" vertical="top" wrapText="1" readingOrder="1"/>
    </xf>
    <xf numFmtId="0" fontId="24" fillId="0" borderId="5" xfId="56" applyFont="1" applyBorder="1" applyAlignment="1">
      <alignment horizontal="center" vertical="top" wrapText="1" readingOrder="1"/>
    </xf>
    <xf numFmtId="0" fontId="1" fillId="0" borderId="6" xfId="56" applyBorder="1" applyAlignment="1">
      <alignment horizontal="center" vertical="top" wrapText="1" readingOrder="1"/>
    </xf>
    <xf numFmtId="0" fontId="1" fillId="0" borderId="7" xfId="56" applyBorder="1" applyAlignment="1">
      <alignment horizontal="center" vertical="top" wrapText="1" readingOrder="1"/>
    </xf>
    <xf numFmtId="0" fontId="29" fillId="0" borderId="8" xfId="56" applyFont="1" applyBorder="1" applyAlignment="1">
      <alignment horizontal="left" vertical="top" wrapText="1"/>
    </xf>
    <xf numFmtId="0" fontId="29" fillId="0" borderId="17" xfId="56" applyFont="1" applyBorder="1" applyAlignment="1">
      <alignment horizontal="left" vertical="top" wrapText="1"/>
    </xf>
    <xf numFmtId="0" fontId="29" fillId="0" borderId="4" xfId="56" applyFont="1" applyBorder="1" applyAlignment="1">
      <alignment horizontal="left" vertical="top" wrapText="1"/>
    </xf>
    <xf numFmtId="0" fontId="29" fillId="0" borderId="0" xfId="56" applyFont="1" applyAlignment="1">
      <alignment horizontal="left" vertical="top" wrapText="1"/>
    </xf>
    <xf numFmtId="0" fontId="29" fillId="0" borderId="5" xfId="56" applyFont="1" applyBorder="1" applyAlignment="1">
      <alignment horizontal="left" vertical="top" wrapText="1"/>
    </xf>
    <xf numFmtId="0" fontId="29" fillId="0" borderId="6" xfId="56" applyFont="1" applyBorder="1" applyAlignment="1">
      <alignment horizontal="left" vertical="top" wrapText="1"/>
    </xf>
    <xf numFmtId="0" fontId="24" fillId="0" borderId="17" xfId="56" applyFont="1" applyBorder="1" applyAlignment="1">
      <alignment horizontal="left" vertical="center" wrapText="1"/>
    </xf>
    <xf numFmtId="0" fontId="24" fillId="0" borderId="9" xfId="56" applyFont="1" applyBorder="1" applyAlignment="1">
      <alignment horizontal="left" vertical="center" wrapText="1"/>
    </xf>
    <xf numFmtId="0" fontId="24" fillId="0" borderId="0" xfId="56" applyFont="1" applyAlignment="1">
      <alignment horizontal="left" vertical="center" wrapText="1"/>
    </xf>
    <xf numFmtId="0" fontId="24" fillId="0" borderId="16" xfId="56" applyFont="1" applyBorder="1" applyAlignment="1">
      <alignment horizontal="left" vertical="center" wrapText="1"/>
    </xf>
    <xf numFmtId="0" fontId="24" fillId="0" borderId="6" xfId="56" applyFont="1" applyBorder="1" applyAlignment="1">
      <alignment horizontal="left" vertical="center" wrapText="1"/>
    </xf>
    <xf numFmtId="0" fontId="24" fillId="0" borderId="7" xfId="56" applyFont="1" applyBorder="1" applyAlignment="1">
      <alignment horizontal="left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8" fillId="0" borderId="3" xfId="0" applyFont="1" applyBorder="1" applyAlignment="1">
      <alignment horizontal="right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top" wrapText="1"/>
    </xf>
    <xf numFmtId="2" fontId="6" fillId="0" borderId="11" xfId="0" applyNumberFormat="1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2" fontId="42" fillId="0" borderId="10" xfId="0" applyNumberFormat="1" applyFont="1" applyBorder="1" applyAlignment="1">
      <alignment horizontal="center" vertical="center" wrapText="1"/>
    </xf>
    <xf numFmtId="2" fontId="42" fillId="0" borderId="11" xfId="0" applyNumberFormat="1" applyFont="1" applyBorder="1" applyAlignment="1">
      <alignment horizontal="center" vertical="center" wrapText="1"/>
    </xf>
    <xf numFmtId="2" fontId="42" fillId="0" borderId="21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51" fillId="0" borderId="3" xfId="0" applyFont="1" applyBorder="1" applyAlignment="1">
      <alignment horizontal="right" vertical="center" wrapText="1"/>
    </xf>
    <xf numFmtId="0" fontId="52" fillId="0" borderId="3" xfId="0" applyFont="1" applyBorder="1" applyAlignment="1">
      <alignment horizontal="center" vertical="center" wrapText="1"/>
    </xf>
    <xf numFmtId="49" fontId="52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52" fillId="0" borderId="3" xfId="0" applyNumberFormat="1" applyFont="1" applyBorder="1" applyAlignment="1">
      <alignment horizontal="center" vertical="center" wrapText="1"/>
    </xf>
    <xf numFmtId="49" fontId="5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4" fontId="52" fillId="0" borderId="3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60" fillId="0" borderId="12" xfId="0" applyFont="1" applyBorder="1" applyAlignment="1">
      <alignment horizontal="center" vertical="center" wrapText="1"/>
    </xf>
    <xf numFmtId="0" fontId="60" fillId="0" borderId="15" xfId="0" applyFont="1" applyBorder="1" applyAlignment="1">
      <alignment horizontal="center" vertical="center" wrapText="1"/>
    </xf>
  </cellXfs>
  <cellStyles count="60">
    <cellStyle name="_PERSONAL" xfId="1" xr:uid="{00000000-0005-0000-0000-000000000000}"/>
    <cellStyle name="_PERSONAL_1" xfId="2" xr:uid="{00000000-0005-0000-0000-000001000000}"/>
    <cellStyle name="None" xfId="3" xr:uid="{00000000-0005-0000-0000-000002000000}"/>
    <cellStyle name="normální_laroux" xfId="4" xr:uid="{00000000-0005-0000-0000-000003000000}"/>
    <cellStyle name="Normalny" xfId="0" builtinId="0"/>
    <cellStyle name="Normalny 2" xfId="5" xr:uid="{00000000-0005-0000-0000-000005000000}"/>
    <cellStyle name="Normalny 2 17" xfId="56" xr:uid="{209E92BB-A9C9-4E3F-A33D-D1F4BE348880}"/>
    <cellStyle name="Normalny 2 18" xfId="59" xr:uid="{AED93E61-9916-4A99-BA44-368D5756EB72}"/>
    <cellStyle name="Normalny 2 2" xfId="6" xr:uid="{00000000-0005-0000-0000-000006000000}"/>
    <cellStyle name="Normalny 2 2 2" xfId="7" xr:uid="{00000000-0005-0000-0000-000007000000}"/>
    <cellStyle name="Normalny 2 2 3" xfId="8" xr:uid="{00000000-0005-0000-0000-000008000000}"/>
    <cellStyle name="Normalny 2 2 4" xfId="9" xr:uid="{00000000-0005-0000-0000-000009000000}"/>
    <cellStyle name="Normalny 2 3" xfId="10" xr:uid="{00000000-0005-0000-0000-00000A000000}"/>
    <cellStyle name="Normalny 2 3 2" xfId="11" xr:uid="{00000000-0005-0000-0000-00000B000000}"/>
    <cellStyle name="Normalny 2 4" xfId="12" xr:uid="{00000000-0005-0000-0000-00000C000000}"/>
    <cellStyle name="Normalny 2 4 2" xfId="13" xr:uid="{00000000-0005-0000-0000-00000D000000}"/>
    <cellStyle name="Normalny 2 4 3" xfId="14" xr:uid="{00000000-0005-0000-0000-00000E000000}"/>
    <cellStyle name="Normalny 3" xfId="15" xr:uid="{00000000-0005-0000-0000-00000F000000}"/>
    <cellStyle name="Normalny 3 2" xfId="16" xr:uid="{00000000-0005-0000-0000-000010000000}"/>
    <cellStyle name="Normalny 3 3" xfId="17" xr:uid="{00000000-0005-0000-0000-000011000000}"/>
    <cellStyle name="Normalny 4" xfId="18" xr:uid="{00000000-0005-0000-0000-000012000000}"/>
    <cellStyle name="Normalny 4 2" xfId="19" xr:uid="{00000000-0005-0000-0000-000013000000}"/>
    <cellStyle name="Normalny 4 3" xfId="20" xr:uid="{00000000-0005-0000-0000-000014000000}"/>
    <cellStyle name="Normalny 5" xfId="21" xr:uid="{00000000-0005-0000-0000-000015000000}"/>
    <cellStyle name="Normalny 5 2" xfId="22" xr:uid="{00000000-0005-0000-0000-000016000000}"/>
    <cellStyle name="Normalny 5 2 2" xfId="23" xr:uid="{00000000-0005-0000-0000-000017000000}"/>
    <cellStyle name="Normalny 5 2 2 2" xfId="24" xr:uid="{00000000-0005-0000-0000-000018000000}"/>
    <cellStyle name="Normalny 5 2 3" xfId="25" xr:uid="{00000000-0005-0000-0000-000019000000}"/>
    <cellStyle name="Normalny 5 2 4" xfId="26" xr:uid="{00000000-0005-0000-0000-00001A000000}"/>
    <cellStyle name="Normalny 5 3" xfId="27" xr:uid="{00000000-0005-0000-0000-00001B000000}"/>
    <cellStyle name="Normalny 5 3 2" xfId="28" xr:uid="{00000000-0005-0000-0000-00001C000000}"/>
    <cellStyle name="Normalny 5 3 2 2" xfId="29" xr:uid="{00000000-0005-0000-0000-00001D000000}"/>
    <cellStyle name="Normalny 5 3 3" xfId="30" xr:uid="{00000000-0005-0000-0000-00001E000000}"/>
    <cellStyle name="Normalny 5 3 4" xfId="31" xr:uid="{00000000-0005-0000-0000-00001F000000}"/>
    <cellStyle name="Normalny 5 4" xfId="32" xr:uid="{00000000-0005-0000-0000-000020000000}"/>
    <cellStyle name="Normalny 5 4 2" xfId="33" xr:uid="{00000000-0005-0000-0000-000021000000}"/>
    <cellStyle name="Normalny 5 4 2 2" xfId="34" xr:uid="{00000000-0005-0000-0000-000022000000}"/>
    <cellStyle name="Normalny 5 4 3" xfId="35" xr:uid="{00000000-0005-0000-0000-000023000000}"/>
    <cellStyle name="Normalny 5 5" xfId="36" xr:uid="{00000000-0005-0000-0000-000024000000}"/>
    <cellStyle name="Normalny 5 5 2" xfId="37" xr:uid="{00000000-0005-0000-0000-000025000000}"/>
    <cellStyle name="Normalny 5 6" xfId="38" xr:uid="{00000000-0005-0000-0000-000026000000}"/>
    <cellStyle name="Normalny 5 7" xfId="39" xr:uid="{00000000-0005-0000-0000-000027000000}"/>
    <cellStyle name="Normalny 6" xfId="40" xr:uid="{00000000-0005-0000-0000-000028000000}"/>
    <cellStyle name="Normalny 6 2" xfId="41" xr:uid="{00000000-0005-0000-0000-000029000000}"/>
    <cellStyle name="Normalny 6 2 2" xfId="42" xr:uid="{00000000-0005-0000-0000-00002A000000}"/>
    <cellStyle name="Normalny 6 3" xfId="43" xr:uid="{00000000-0005-0000-0000-00002B000000}"/>
    <cellStyle name="Normalny 6 4" xfId="44" xr:uid="{00000000-0005-0000-0000-00002C000000}"/>
    <cellStyle name="Normalny 7" xfId="57" xr:uid="{47C9AE32-59CF-4E5B-9355-DBE01AF040C5}"/>
    <cellStyle name="Normalny 9" xfId="45" xr:uid="{00000000-0005-0000-0000-00002D000000}"/>
    <cellStyle name="Normalny 9 2" xfId="46" xr:uid="{00000000-0005-0000-0000-00002E000000}"/>
    <cellStyle name="Normalny_SL_KOSZT_Lew0_KO_OBIEKTY" xfId="47" xr:uid="{00000000-0005-0000-0000-000037000000}"/>
    <cellStyle name="Normalny_TER_Chełmno_DP 2" xfId="58" xr:uid="{844E431A-DC5D-4CE3-A629-4FDDF9DA01B3}"/>
    <cellStyle name="Normalny_TER_Milsko_droga" xfId="48" xr:uid="{00000000-0005-0000-0000-00003C000000}"/>
    <cellStyle name="Normalny_TER_Milsko_droga_KO_OBIEKTY" xfId="49" xr:uid="{00000000-0005-0000-0000-00003D000000}"/>
    <cellStyle name="Opis" xfId="50" xr:uid="{00000000-0005-0000-0000-00003E000000}"/>
    <cellStyle name="Procentowy 2" xfId="51" xr:uid="{00000000-0005-0000-0000-00003F000000}"/>
    <cellStyle name="Styl 1" xfId="52" xr:uid="{00000000-0005-0000-0000-000040000000}"/>
    <cellStyle name="Uwaga 2" xfId="53" xr:uid="{00000000-0005-0000-0000-000041000000}"/>
    <cellStyle name="Uwaga 2 2" xfId="54" xr:uid="{00000000-0005-0000-0000-000042000000}"/>
    <cellStyle name="Uwaga 2 3" xfId="55" xr:uid="{00000000-0005-0000-0000-000043000000}"/>
  </cellStyles>
  <dxfs count="144"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485775</xdr:colOff>
      <xdr:row>0</xdr:row>
      <xdr:rowOff>123825</xdr:rowOff>
    </xdr:from>
    <xdr:to>
      <xdr:col>10</xdr:col>
      <xdr:colOff>857250</xdr:colOff>
      <xdr:row>0</xdr:row>
      <xdr:rowOff>638175</xdr:rowOff>
    </xdr:to>
    <xdr:pic>
      <xdr:nvPicPr>
        <xdr:cNvPr id="2" name="Obraz 8" descr="is_fs_pl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23825"/>
          <a:ext cx="539115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133350</xdr:colOff>
      <xdr:row>2</xdr:row>
      <xdr:rowOff>19050</xdr:rowOff>
    </xdr:from>
    <xdr:to>
      <xdr:col>6</xdr:col>
      <xdr:colOff>467500</xdr:colOff>
      <xdr:row>4</xdr:row>
      <xdr:rowOff>140970</xdr:rowOff>
    </xdr:to>
    <xdr:pic>
      <xdr:nvPicPr>
        <xdr:cNvPr id="4" name="Obraz 12" descr="R:\P224_LK201\07_Pomoce\Tabelka rysunkowa\logo_PLK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00" b="21333"/>
        <a:stretch>
          <a:fillRect/>
        </a:stretch>
      </xdr:blipFill>
      <xdr:spPr bwMode="auto">
        <a:xfrm>
          <a:off x="133350" y="885825"/>
          <a:ext cx="247537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23B8E-D7D5-4A0E-A499-B4745F836DC7}">
  <sheetPr>
    <pageSetUpPr fitToPage="1"/>
  </sheetPr>
  <dimension ref="A1:M26"/>
  <sheetViews>
    <sheetView view="pageBreakPreview" topLeftCell="B11" zoomScaleNormal="100" zoomScaleSheetLayoutView="100" workbookViewId="0">
      <selection activeCell="B24" sqref="B24"/>
    </sheetView>
  </sheetViews>
  <sheetFormatPr defaultRowHeight="13.2"/>
  <cols>
    <col min="1" max="1" width="1.44140625" style="17" hidden="1" customWidth="1"/>
    <col min="2" max="2" width="10.88671875" style="17" customWidth="1"/>
    <col min="3" max="3" width="5.88671875" style="17" customWidth="1"/>
    <col min="4" max="4" width="1.109375" style="17" customWidth="1"/>
    <col min="5" max="5" width="4" style="17" customWidth="1"/>
    <col min="6" max="6" width="10.33203125" style="17" customWidth="1"/>
    <col min="7" max="7" width="12" style="17" customWidth="1"/>
    <col min="8" max="8" width="5.109375" style="17" customWidth="1"/>
    <col min="9" max="9" width="11.6640625" style="17" customWidth="1"/>
    <col min="10" max="10" width="14.33203125" style="17" customWidth="1"/>
    <col min="11" max="11" width="20.44140625" style="17" customWidth="1"/>
    <col min="12" max="12" width="14.5546875" style="17" bestFit="1" customWidth="1"/>
    <col min="13" max="256" width="9.109375" style="17"/>
    <col min="257" max="257" width="0.109375" style="17" customWidth="1"/>
    <col min="258" max="258" width="10.88671875" style="17" customWidth="1"/>
    <col min="259" max="259" width="5.88671875" style="17" customWidth="1"/>
    <col min="260" max="260" width="1.109375" style="17" customWidth="1"/>
    <col min="261" max="261" width="4" style="17" customWidth="1"/>
    <col min="262" max="262" width="10.33203125" style="17" customWidth="1"/>
    <col min="263" max="263" width="12" style="17" customWidth="1"/>
    <col min="264" max="264" width="5.109375" style="17" customWidth="1"/>
    <col min="265" max="265" width="11.6640625" style="17" customWidth="1"/>
    <col min="266" max="266" width="14.33203125" style="17" customWidth="1"/>
    <col min="267" max="267" width="19.109375" style="17" customWidth="1"/>
    <col min="268" max="512" width="9.109375" style="17"/>
    <col min="513" max="513" width="0.109375" style="17" customWidth="1"/>
    <col min="514" max="514" width="10.88671875" style="17" customWidth="1"/>
    <col min="515" max="515" width="5.88671875" style="17" customWidth="1"/>
    <col min="516" max="516" width="1.109375" style="17" customWidth="1"/>
    <col min="517" max="517" width="4" style="17" customWidth="1"/>
    <col min="518" max="518" width="10.33203125" style="17" customWidth="1"/>
    <col min="519" max="519" width="12" style="17" customWidth="1"/>
    <col min="520" max="520" width="5.109375" style="17" customWidth="1"/>
    <col min="521" max="521" width="11.6640625" style="17" customWidth="1"/>
    <col min="522" max="522" width="14.33203125" style="17" customWidth="1"/>
    <col min="523" max="523" width="19.109375" style="17" customWidth="1"/>
    <col min="524" max="768" width="9.109375" style="17"/>
    <col min="769" max="769" width="0.109375" style="17" customWidth="1"/>
    <col min="770" max="770" width="10.88671875" style="17" customWidth="1"/>
    <col min="771" max="771" width="5.88671875" style="17" customWidth="1"/>
    <col min="772" max="772" width="1.109375" style="17" customWidth="1"/>
    <col min="773" max="773" width="4" style="17" customWidth="1"/>
    <col min="774" max="774" width="10.33203125" style="17" customWidth="1"/>
    <col min="775" max="775" width="12" style="17" customWidth="1"/>
    <col min="776" max="776" width="5.109375" style="17" customWidth="1"/>
    <col min="777" max="777" width="11.6640625" style="17" customWidth="1"/>
    <col min="778" max="778" width="14.33203125" style="17" customWidth="1"/>
    <col min="779" max="779" width="19.109375" style="17" customWidth="1"/>
    <col min="780" max="1024" width="9.109375" style="17"/>
    <col min="1025" max="1025" width="0.109375" style="17" customWidth="1"/>
    <col min="1026" max="1026" width="10.88671875" style="17" customWidth="1"/>
    <col min="1027" max="1027" width="5.88671875" style="17" customWidth="1"/>
    <col min="1028" max="1028" width="1.109375" style="17" customWidth="1"/>
    <col min="1029" max="1029" width="4" style="17" customWidth="1"/>
    <col min="1030" max="1030" width="10.33203125" style="17" customWidth="1"/>
    <col min="1031" max="1031" width="12" style="17" customWidth="1"/>
    <col min="1032" max="1032" width="5.109375" style="17" customWidth="1"/>
    <col min="1033" max="1033" width="11.6640625" style="17" customWidth="1"/>
    <col min="1034" max="1034" width="14.33203125" style="17" customWidth="1"/>
    <col min="1035" max="1035" width="19.109375" style="17" customWidth="1"/>
    <col min="1036" max="1280" width="9.109375" style="17"/>
    <col min="1281" max="1281" width="0.109375" style="17" customWidth="1"/>
    <col min="1282" max="1282" width="10.88671875" style="17" customWidth="1"/>
    <col min="1283" max="1283" width="5.88671875" style="17" customWidth="1"/>
    <col min="1284" max="1284" width="1.109375" style="17" customWidth="1"/>
    <col min="1285" max="1285" width="4" style="17" customWidth="1"/>
    <col min="1286" max="1286" width="10.33203125" style="17" customWidth="1"/>
    <col min="1287" max="1287" width="12" style="17" customWidth="1"/>
    <col min="1288" max="1288" width="5.109375" style="17" customWidth="1"/>
    <col min="1289" max="1289" width="11.6640625" style="17" customWidth="1"/>
    <col min="1290" max="1290" width="14.33203125" style="17" customWidth="1"/>
    <col min="1291" max="1291" width="19.109375" style="17" customWidth="1"/>
    <col min="1292" max="1536" width="9.109375" style="17"/>
    <col min="1537" max="1537" width="0.109375" style="17" customWidth="1"/>
    <col min="1538" max="1538" width="10.88671875" style="17" customWidth="1"/>
    <col min="1539" max="1539" width="5.88671875" style="17" customWidth="1"/>
    <col min="1540" max="1540" width="1.109375" style="17" customWidth="1"/>
    <col min="1541" max="1541" width="4" style="17" customWidth="1"/>
    <col min="1542" max="1542" width="10.33203125" style="17" customWidth="1"/>
    <col min="1543" max="1543" width="12" style="17" customWidth="1"/>
    <col min="1544" max="1544" width="5.109375" style="17" customWidth="1"/>
    <col min="1545" max="1545" width="11.6640625" style="17" customWidth="1"/>
    <col min="1546" max="1546" width="14.33203125" style="17" customWidth="1"/>
    <col min="1547" max="1547" width="19.109375" style="17" customWidth="1"/>
    <col min="1548" max="1792" width="9.109375" style="17"/>
    <col min="1793" max="1793" width="0.109375" style="17" customWidth="1"/>
    <col min="1794" max="1794" width="10.88671875" style="17" customWidth="1"/>
    <col min="1795" max="1795" width="5.88671875" style="17" customWidth="1"/>
    <col min="1796" max="1796" width="1.109375" style="17" customWidth="1"/>
    <col min="1797" max="1797" width="4" style="17" customWidth="1"/>
    <col min="1798" max="1798" width="10.33203125" style="17" customWidth="1"/>
    <col min="1799" max="1799" width="12" style="17" customWidth="1"/>
    <col min="1800" max="1800" width="5.109375" style="17" customWidth="1"/>
    <col min="1801" max="1801" width="11.6640625" style="17" customWidth="1"/>
    <col min="1802" max="1802" width="14.33203125" style="17" customWidth="1"/>
    <col min="1803" max="1803" width="19.109375" style="17" customWidth="1"/>
    <col min="1804" max="2048" width="9.109375" style="17"/>
    <col min="2049" max="2049" width="0.109375" style="17" customWidth="1"/>
    <col min="2050" max="2050" width="10.88671875" style="17" customWidth="1"/>
    <col min="2051" max="2051" width="5.88671875" style="17" customWidth="1"/>
    <col min="2052" max="2052" width="1.109375" style="17" customWidth="1"/>
    <col min="2053" max="2053" width="4" style="17" customWidth="1"/>
    <col min="2054" max="2054" width="10.33203125" style="17" customWidth="1"/>
    <col min="2055" max="2055" width="12" style="17" customWidth="1"/>
    <col min="2056" max="2056" width="5.109375" style="17" customWidth="1"/>
    <col min="2057" max="2057" width="11.6640625" style="17" customWidth="1"/>
    <col min="2058" max="2058" width="14.33203125" style="17" customWidth="1"/>
    <col min="2059" max="2059" width="19.109375" style="17" customWidth="1"/>
    <col min="2060" max="2304" width="9.109375" style="17"/>
    <col min="2305" max="2305" width="0.109375" style="17" customWidth="1"/>
    <col min="2306" max="2306" width="10.88671875" style="17" customWidth="1"/>
    <col min="2307" max="2307" width="5.88671875" style="17" customWidth="1"/>
    <col min="2308" max="2308" width="1.109375" style="17" customWidth="1"/>
    <col min="2309" max="2309" width="4" style="17" customWidth="1"/>
    <col min="2310" max="2310" width="10.33203125" style="17" customWidth="1"/>
    <col min="2311" max="2311" width="12" style="17" customWidth="1"/>
    <col min="2312" max="2312" width="5.109375" style="17" customWidth="1"/>
    <col min="2313" max="2313" width="11.6640625" style="17" customWidth="1"/>
    <col min="2314" max="2314" width="14.33203125" style="17" customWidth="1"/>
    <col min="2315" max="2315" width="19.109375" style="17" customWidth="1"/>
    <col min="2316" max="2560" width="9.109375" style="17"/>
    <col min="2561" max="2561" width="0.109375" style="17" customWidth="1"/>
    <col min="2562" max="2562" width="10.88671875" style="17" customWidth="1"/>
    <col min="2563" max="2563" width="5.88671875" style="17" customWidth="1"/>
    <col min="2564" max="2564" width="1.109375" style="17" customWidth="1"/>
    <col min="2565" max="2565" width="4" style="17" customWidth="1"/>
    <col min="2566" max="2566" width="10.33203125" style="17" customWidth="1"/>
    <col min="2567" max="2567" width="12" style="17" customWidth="1"/>
    <col min="2568" max="2568" width="5.109375" style="17" customWidth="1"/>
    <col min="2569" max="2569" width="11.6640625" style="17" customWidth="1"/>
    <col min="2570" max="2570" width="14.33203125" style="17" customWidth="1"/>
    <col min="2571" max="2571" width="19.109375" style="17" customWidth="1"/>
    <col min="2572" max="2816" width="9.109375" style="17"/>
    <col min="2817" max="2817" width="0.109375" style="17" customWidth="1"/>
    <col min="2818" max="2818" width="10.88671875" style="17" customWidth="1"/>
    <col min="2819" max="2819" width="5.88671875" style="17" customWidth="1"/>
    <col min="2820" max="2820" width="1.109375" style="17" customWidth="1"/>
    <col min="2821" max="2821" width="4" style="17" customWidth="1"/>
    <col min="2822" max="2822" width="10.33203125" style="17" customWidth="1"/>
    <col min="2823" max="2823" width="12" style="17" customWidth="1"/>
    <col min="2824" max="2824" width="5.109375" style="17" customWidth="1"/>
    <col min="2825" max="2825" width="11.6640625" style="17" customWidth="1"/>
    <col min="2826" max="2826" width="14.33203125" style="17" customWidth="1"/>
    <col min="2827" max="2827" width="19.109375" style="17" customWidth="1"/>
    <col min="2828" max="3072" width="9.109375" style="17"/>
    <col min="3073" max="3073" width="0.109375" style="17" customWidth="1"/>
    <col min="3074" max="3074" width="10.88671875" style="17" customWidth="1"/>
    <col min="3075" max="3075" width="5.88671875" style="17" customWidth="1"/>
    <col min="3076" max="3076" width="1.109375" style="17" customWidth="1"/>
    <col min="3077" max="3077" width="4" style="17" customWidth="1"/>
    <col min="3078" max="3078" width="10.33203125" style="17" customWidth="1"/>
    <col min="3079" max="3079" width="12" style="17" customWidth="1"/>
    <col min="3080" max="3080" width="5.109375" style="17" customWidth="1"/>
    <col min="3081" max="3081" width="11.6640625" style="17" customWidth="1"/>
    <col min="3082" max="3082" width="14.33203125" style="17" customWidth="1"/>
    <col min="3083" max="3083" width="19.109375" style="17" customWidth="1"/>
    <col min="3084" max="3328" width="9.109375" style="17"/>
    <col min="3329" max="3329" width="0.109375" style="17" customWidth="1"/>
    <col min="3330" max="3330" width="10.88671875" style="17" customWidth="1"/>
    <col min="3331" max="3331" width="5.88671875" style="17" customWidth="1"/>
    <col min="3332" max="3332" width="1.109375" style="17" customWidth="1"/>
    <col min="3333" max="3333" width="4" style="17" customWidth="1"/>
    <col min="3334" max="3334" width="10.33203125" style="17" customWidth="1"/>
    <col min="3335" max="3335" width="12" style="17" customWidth="1"/>
    <col min="3336" max="3336" width="5.109375" style="17" customWidth="1"/>
    <col min="3337" max="3337" width="11.6640625" style="17" customWidth="1"/>
    <col min="3338" max="3338" width="14.33203125" style="17" customWidth="1"/>
    <col min="3339" max="3339" width="19.109375" style="17" customWidth="1"/>
    <col min="3340" max="3584" width="9.109375" style="17"/>
    <col min="3585" max="3585" width="0.109375" style="17" customWidth="1"/>
    <col min="3586" max="3586" width="10.88671875" style="17" customWidth="1"/>
    <col min="3587" max="3587" width="5.88671875" style="17" customWidth="1"/>
    <col min="3588" max="3588" width="1.109375" style="17" customWidth="1"/>
    <col min="3589" max="3589" width="4" style="17" customWidth="1"/>
    <col min="3590" max="3590" width="10.33203125" style="17" customWidth="1"/>
    <col min="3591" max="3591" width="12" style="17" customWidth="1"/>
    <col min="3592" max="3592" width="5.109375" style="17" customWidth="1"/>
    <col min="3593" max="3593" width="11.6640625" style="17" customWidth="1"/>
    <col min="3594" max="3594" width="14.33203125" style="17" customWidth="1"/>
    <col min="3595" max="3595" width="19.109375" style="17" customWidth="1"/>
    <col min="3596" max="3840" width="9.109375" style="17"/>
    <col min="3841" max="3841" width="0.109375" style="17" customWidth="1"/>
    <col min="3842" max="3842" width="10.88671875" style="17" customWidth="1"/>
    <col min="3843" max="3843" width="5.88671875" style="17" customWidth="1"/>
    <col min="3844" max="3844" width="1.109375" style="17" customWidth="1"/>
    <col min="3845" max="3845" width="4" style="17" customWidth="1"/>
    <col min="3846" max="3846" width="10.33203125" style="17" customWidth="1"/>
    <col min="3847" max="3847" width="12" style="17" customWidth="1"/>
    <col min="3848" max="3848" width="5.109375" style="17" customWidth="1"/>
    <col min="3849" max="3849" width="11.6640625" style="17" customWidth="1"/>
    <col min="3850" max="3850" width="14.33203125" style="17" customWidth="1"/>
    <col min="3851" max="3851" width="19.109375" style="17" customWidth="1"/>
    <col min="3852" max="4096" width="9.109375" style="17"/>
    <col min="4097" max="4097" width="0.109375" style="17" customWidth="1"/>
    <col min="4098" max="4098" width="10.88671875" style="17" customWidth="1"/>
    <col min="4099" max="4099" width="5.88671875" style="17" customWidth="1"/>
    <col min="4100" max="4100" width="1.109375" style="17" customWidth="1"/>
    <col min="4101" max="4101" width="4" style="17" customWidth="1"/>
    <col min="4102" max="4102" width="10.33203125" style="17" customWidth="1"/>
    <col min="4103" max="4103" width="12" style="17" customWidth="1"/>
    <col min="4104" max="4104" width="5.109375" style="17" customWidth="1"/>
    <col min="4105" max="4105" width="11.6640625" style="17" customWidth="1"/>
    <col min="4106" max="4106" width="14.33203125" style="17" customWidth="1"/>
    <col min="4107" max="4107" width="19.109375" style="17" customWidth="1"/>
    <col min="4108" max="4352" width="9.109375" style="17"/>
    <col min="4353" max="4353" width="0.109375" style="17" customWidth="1"/>
    <col min="4354" max="4354" width="10.88671875" style="17" customWidth="1"/>
    <col min="4355" max="4355" width="5.88671875" style="17" customWidth="1"/>
    <col min="4356" max="4356" width="1.109375" style="17" customWidth="1"/>
    <col min="4357" max="4357" width="4" style="17" customWidth="1"/>
    <col min="4358" max="4358" width="10.33203125" style="17" customWidth="1"/>
    <col min="4359" max="4359" width="12" style="17" customWidth="1"/>
    <col min="4360" max="4360" width="5.109375" style="17" customWidth="1"/>
    <col min="4361" max="4361" width="11.6640625" style="17" customWidth="1"/>
    <col min="4362" max="4362" width="14.33203125" style="17" customWidth="1"/>
    <col min="4363" max="4363" width="19.109375" style="17" customWidth="1"/>
    <col min="4364" max="4608" width="9.109375" style="17"/>
    <col min="4609" max="4609" width="0.109375" style="17" customWidth="1"/>
    <col min="4610" max="4610" width="10.88671875" style="17" customWidth="1"/>
    <col min="4611" max="4611" width="5.88671875" style="17" customWidth="1"/>
    <col min="4612" max="4612" width="1.109375" style="17" customWidth="1"/>
    <col min="4613" max="4613" width="4" style="17" customWidth="1"/>
    <col min="4614" max="4614" width="10.33203125" style="17" customWidth="1"/>
    <col min="4615" max="4615" width="12" style="17" customWidth="1"/>
    <col min="4616" max="4616" width="5.109375" style="17" customWidth="1"/>
    <col min="4617" max="4617" width="11.6640625" style="17" customWidth="1"/>
    <col min="4618" max="4618" width="14.33203125" style="17" customWidth="1"/>
    <col min="4619" max="4619" width="19.109375" style="17" customWidth="1"/>
    <col min="4620" max="4864" width="9.109375" style="17"/>
    <col min="4865" max="4865" width="0.109375" style="17" customWidth="1"/>
    <col min="4866" max="4866" width="10.88671875" style="17" customWidth="1"/>
    <col min="4867" max="4867" width="5.88671875" style="17" customWidth="1"/>
    <col min="4868" max="4868" width="1.109375" style="17" customWidth="1"/>
    <col min="4869" max="4869" width="4" style="17" customWidth="1"/>
    <col min="4870" max="4870" width="10.33203125" style="17" customWidth="1"/>
    <col min="4871" max="4871" width="12" style="17" customWidth="1"/>
    <col min="4872" max="4872" width="5.109375" style="17" customWidth="1"/>
    <col min="4873" max="4873" width="11.6640625" style="17" customWidth="1"/>
    <col min="4874" max="4874" width="14.33203125" style="17" customWidth="1"/>
    <col min="4875" max="4875" width="19.109375" style="17" customWidth="1"/>
    <col min="4876" max="5120" width="9.109375" style="17"/>
    <col min="5121" max="5121" width="0.109375" style="17" customWidth="1"/>
    <col min="5122" max="5122" width="10.88671875" style="17" customWidth="1"/>
    <col min="5123" max="5123" width="5.88671875" style="17" customWidth="1"/>
    <col min="5124" max="5124" width="1.109375" style="17" customWidth="1"/>
    <col min="5125" max="5125" width="4" style="17" customWidth="1"/>
    <col min="5126" max="5126" width="10.33203125" style="17" customWidth="1"/>
    <col min="5127" max="5127" width="12" style="17" customWidth="1"/>
    <col min="5128" max="5128" width="5.109375" style="17" customWidth="1"/>
    <col min="5129" max="5129" width="11.6640625" style="17" customWidth="1"/>
    <col min="5130" max="5130" width="14.33203125" style="17" customWidth="1"/>
    <col min="5131" max="5131" width="19.109375" style="17" customWidth="1"/>
    <col min="5132" max="5376" width="9.109375" style="17"/>
    <col min="5377" max="5377" width="0.109375" style="17" customWidth="1"/>
    <col min="5378" max="5378" width="10.88671875" style="17" customWidth="1"/>
    <col min="5379" max="5379" width="5.88671875" style="17" customWidth="1"/>
    <col min="5380" max="5380" width="1.109375" style="17" customWidth="1"/>
    <col min="5381" max="5381" width="4" style="17" customWidth="1"/>
    <col min="5382" max="5382" width="10.33203125" style="17" customWidth="1"/>
    <col min="5383" max="5383" width="12" style="17" customWidth="1"/>
    <col min="5384" max="5384" width="5.109375" style="17" customWidth="1"/>
    <col min="5385" max="5385" width="11.6640625" style="17" customWidth="1"/>
    <col min="5386" max="5386" width="14.33203125" style="17" customWidth="1"/>
    <col min="5387" max="5387" width="19.109375" style="17" customWidth="1"/>
    <col min="5388" max="5632" width="9.109375" style="17"/>
    <col min="5633" max="5633" width="0.109375" style="17" customWidth="1"/>
    <col min="5634" max="5634" width="10.88671875" style="17" customWidth="1"/>
    <col min="5635" max="5635" width="5.88671875" style="17" customWidth="1"/>
    <col min="5636" max="5636" width="1.109375" style="17" customWidth="1"/>
    <col min="5637" max="5637" width="4" style="17" customWidth="1"/>
    <col min="5638" max="5638" width="10.33203125" style="17" customWidth="1"/>
    <col min="5639" max="5639" width="12" style="17" customWidth="1"/>
    <col min="5640" max="5640" width="5.109375" style="17" customWidth="1"/>
    <col min="5641" max="5641" width="11.6640625" style="17" customWidth="1"/>
    <col min="5642" max="5642" width="14.33203125" style="17" customWidth="1"/>
    <col min="5643" max="5643" width="19.109375" style="17" customWidth="1"/>
    <col min="5644" max="5888" width="9.109375" style="17"/>
    <col min="5889" max="5889" width="0.109375" style="17" customWidth="1"/>
    <col min="5890" max="5890" width="10.88671875" style="17" customWidth="1"/>
    <col min="5891" max="5891" width="5.88671875" style="17" customWidth="1"/>
    <col min="5892" max="5892" width="1.109375" style="17" customWidth="1"/>
    <col min="5893" max="5893" width="4" style="17" customWidth="1"/>
    <col min="5894" max="5894" width="10.33203125" style="17" customWidth="1"/>
    <col min="5895" max="5895" width="12" style="17" customWidth="1"/>
    <col min="5896" max="5896" width="5.109375" style="17" customWidth="1"/>
    <col min="5897" max="5897" width="11.6640625" style="17" customWidth="1"/>
    <col min="5898" max="5898" width="14.33203125" style="17" customWidth="1"/>
    <col min="5899" max="5899" width="19.109375" style="17" customWidth="1"/>
    <col min="5900" max="6144" width="9.109375" style="17"/>
    <col min="6145" max="6145" width="0.109375" style="17" customWidth="1"/>
    <col min="6146" max="6146" width="10.88671875" style="17" customWidth="1"/>
    <col min="6147" max="6147" width="5.88671875" style="17" customWidth="1"/>
    <col min="6148" max="6148" width="1.109375" style="17" customWidth="1"/>
    <col min="6149" max="6149" width="4" style="17" customWidth="1"/>
    <col min="6150" max="6150" width="10.33203125" style="17" customWidth="1"/>
    <col min="6151" max="6151" width="12" style="17" customWidth="1"/>
    <col min="6152" max="6152" width="5.109375" style="17" customWidth="1"/>
    <col min="6153" max="6153" width="11.6640625" style="17" customWidth="1"/>
    <col min="6154" max="6154" width="14.33203125" style="17" customWidth="1"/>
    <col min="6155" max="6155" width="19.109375" style="17" customWidth="1"/>
    <col min="6156" max="6400" width="9.109375" style="17"/>
    <col min="6401" max="6401" width="0.109375" style="17" customWidth="1"/>
    <col min="6402" max="6402" width="10.88671875" style="17" customWidth="1"/>
    <col min="6403" max="6403" width="5.88671875" style="17" customWidth="1"/>
    <col min="6404" max="6404" width="1.109375" style="17" customWidth="1"/>
    <col min="6405" max="6405" width="4" style="17" customWidth="1"/>
    <col min="6406" max="6406" width="10.33203125" style="17" customWidth="1"/>
    <col min="6407" max="6407" width="12" style="17" customWidth="1"/>
    <col min="6408" max="6408" width="5.109375" style="17" customWidth="1"/>
    <col min="6409" max="6409" width="11.6640625" style="17" customWidth="1"/>
    <col min="6410" max="6410" width="14.33203125" style="17" customWidth="1"/>
    <col min="6411" max="6411" width="19.109375" style="17" customWidth="1"/>
    <col min="6412" max="6656" width="9.109375" style="17"/>
    <col min="6657" max="6657" width="0.109375" style="17" customWidth="1"/>
    <col min="6658" max="6658" width="10.88671875" style="17" customWidth="1"/>
    <col min="6659" max="6659" width="5.88671875" style="17" customWidth="1"/>
    <col min="6660" max="6660" width="1.109375" style="17" customWidth="1"/>
    <col min="6661" max="6661" width="4" style="17" customWidth="1"/>
    <col min="6662" max="6662" width="10.33203125" style="17" customWidth="1"/>
    <col min="6663" max="6663" width="12" style="17" customWidth="1"/>
    <col min="6664" max="6664" width="5.109375" style="17" customWidth="1"/>
    <col min="6665" max="6665" width="11.6640625" style="17" customWidth="1"/>
    <col min="6666" max="6666" width="14.33203125" style="17" customWidth="1"/>
    <col min="6667" max="6667" width="19.109375" style="17" customWidth="1"/>
    <col min="6668" max="6912" width="9.109375" style="17"/>
    <col min="6913" max="6913" width="0.109375" style="17" customWidth="1"/>
    <col min="6914" max="6914" width="10.88671875" style="17" customWidth="1"/>
    <col min="6915" max="6915" width="5.88671875" style="17" customWidth="1"/>
    <col min="6916" max="6916" width="1.109375" style="17" customWidth="1"/>
    <col min="6917" max="6917" width="4" style="17" customWidth="1"/>
    <col min="6918" max="6918" width="10.33203125" style="17" customWidth="1"/>
    <col min="6919" max="6919" width="12" style="17" customWidth="1"/>
    <col min="6920" max="6920" width="5.109375" style="17" customWidth="1"/>
    <col min="6921" max="6921" width="11.6640625" style="17" customWidth="1"/>
    <col min="6922" max="6922" width="14.33203125" style="17" customWidth="1"/>
    <col min="6923" max="6923" width="19.109375" style="17" customWidth="1"/>
    <col min="6924" max="7168" width="9.109375" style="17"/>
    <col min="7169" max="7169" width="0.109375" style="17" customWidth="1"/>
    <col min="7170" max="7170" width="10.88671875" style="17" customWidth="1"/>
    <col min="7171" max="7171" width="5.88671875" style="17" customWidth="1"/>
    <col min="7172" max="7172" width="1.109375" style="17" customWidth="1"/>
    <col min="7173" max="7173" width="4" style="17" customWidth="1"/>
    <col min="7174" max="7174" width="10.33203125" style="17" customWidth="1"/>
    <col min="7175" max="7175" width="12" style="17" customWidth="1"/>
    <col min="7176" max="7176" width="5.109375" style="17" customWidth="1"/>
    <col min="7177" max="7177" width="11.6640625" style="17" customWidth="1"/>
    <col min="7178" max="7178" width="14.33203125" style="17" customWidth="1"/>
    <col min="7179" max="7179" width="19.109375" style="17" customWidth="1"/>
    <col min="7180" max="7424" width="9.109375" style="17"/>
    <col min="7425" max="7425" width="0.109375" style="17" customWidth="1"/>
    <col min="7426" max="7426" width="10.88671875" style="17" customWidth="1"/>
    <col min="7427" max="7427" width="5.88671875" style="17" customWidth="1"/>
    <col min="7428" max="7428" width="1.109375" style="17" customWidth="1"/>
    <col min="7429" max="7429" width="4" style="17" customWidth="1"/>
    <col min="7430" max="7430" width="10.33203125" style="17" customWidth="1"/>
    <col min="7431" max="7431" width="12" style="17" customWidth="1"/>
    <col min="7432" max="7432" width="5.109375" style="17" customWidth="1"/>
    <col min="7433" max="7433" width="11.6640625" style="17" customWidth="1"/>
    <col min="7434" max="7434" width="14.33203125" style="17" customWidth="1"/>
    <col min="7435" max="7435" width="19.109375" style="17" customWidth="1"/>
    <col min="7436" max="7680" width="9.109375" style="17"/>
    <col min="7681" max="7681" width="0.109375" style="17" customWidth="1"/>
    <col min="7682" max="7682" width="10.88671875" style="17" customWidth="1"/>
    <col min="7683" max="7683" width="5.88671875" style="17" customWidth="1"/>
    <col min="7684" max="7684" width="1.109375" style="17" customWidth="1"/>
    <col min="7685" max="7685" width="4" style="17" customWidth="1"/>
    <col min="7686" max="7686" width="10.33203125" style="17" customWidth="1"/>
    <col min="7687" max="7687" width="12" style="17" customWidth="1"/>
    <col min="7688" max="7688" width="5.109375" style="17" customWidth="1"/>
    <col min="7689" max="7689" width="11.6640625" style="17" customWidth="1"/>
    <col min="7690" max="7690" width="14.33203125" style="17" customWidth="1"/>
    <col min="7691" max="7691" width="19.109375" style="17" customWidth="1"/>
    <col min="7692" max="7936" width="9.109375" style="17"/>
    <col min="7937" max="7937" width="0.109375" style="17" customWidth="1"/>
    <col min="7938" max="7938" width="10.88671875" style="17" customWidth="1"/>
    <col min="7939" max="7939" width="5.88671875" style="17" customWidth="1"/>
    <col min="7940" max="7940" width="1.109375" style="17" customWidth="1"/>
    <col min="7941" max="7941" width="4" style="17" customWidth="1"/>
    <col min="7942" max="7942" width="10.33203125" style="17" customWidth="1"/>
    <col min="7943" max="7943" width="12" style="17" customWidth="1"/>
    <col min="7944" max="7944" width="5.109375" style="17" customWidth="1"/>
    <col min="7945" max="7945" width="11.6640625" style="17" customWidth="1"/>
    <col min="7946" max="7946" width="14.33203125" style="17" customWidth="1"/>
    <col min="7947" max="7947" width="19.109375" style="17" customWidth="1"/>
    <col min="7948" max="8192" width="9.109375" style="17"/>
    <col min="8193" max="8193" width="0.109375" style="17" customWidth="1"/>
    <col min="8194" max="8194" width="10.88671875" style="17" customWidth="1"/>
    <col min="8195" max="8195" width="5.88671875" style="17" customWidth="1"/>
    <col min="8196" max="8196" width="1.109375" style="17" customWidth="1"/>
    <col min="8197" max="8197" width="4" style="17" customWidth="1"/>
    <col min="8198" max="8198" width="10.33203125" style="17" customWidth="1"/>
    <col min="8199" max="8199" width="12" style="17" customWidth="1"/>
    <col min="8200" max="8200" width="5.109375" style="17" customWidth="1"/>
    <col min="8201" max="8201" width="11.6640625" style="17" customWidth="1"/>
    <col min="8202" max="8202" width="14.33203125" style="17" customWidth="1"/>
    <col min="8203" max="8203" width="19.109375" style="17" customWidth="1"/>
    <col min="8204" max="8448" width="9.109375" style="17"/>
    <col min="8449" max="8449" width="0.109375" style="17" customWidth="1"/>
    <col min="8450" max="8450" width="10.88671875" style="17" customWidth="1"/>
    <col min="8451" max="8451" width="5.88671875" style="17" customWidth="1"/>
    <col min="8452" max="8452" width="1.109375" style="17" customWidth="1"/>
    <col min="8453" max="8453" width="4" style="17" customWidth="1"/>
    <col min="8454" max="8454" width="10.33203125" style="17" customWidth="1"/>
    <col min="8455" max="8455" width="12" style="17" customWidth="1"/>
    <col min="8456" max="8456" width="5.109375" style="17" customWidth="1"/>
    <col min="8457" max="8457" width="11.6640625" style="17" customWidth="1"/>
    <col min="8458" max="8458" width="14.33203125" style="17" customWidth="1"/>
    <col min="8459" max="8459" width="19.109375" style="17" customWidth="1"/>
    <col min="8460" max="8704" width="9.109375" style="17"/>
    <col min="8705" max="8705" width="0.109375" style="17" customWidth="1"/>
    <col min="8706" max="8706" width="10.88671875" style="17" customWidth="1"/>
    <col min="8707" max="8707" width="5.88671875" style="17" customWidth="1"/>
    <col min="8708" max="8708" width="1.109375" style="17" customWidth="1"/>
    <col min="8709" max="8709" width="4" style="17" customWidth="1"/>
    <col min="8710" max="8710" width="10.33203125" style="17" customWidth="1"/>
    <col min="8711" max="8711" width="12" style="17" customWidth="1"/>
    <col min="8712" max="8712" width="5.109375" style="17" customWidth="1"/>
    <col min="8713" max="8713" width="11.6640625" style="17" customWidth="1"/>
    <col min="8714" max="8714" width="14.33203125" style="17" customWidth="1"/>
    <col min="8715" max="8715" width="19.109375" style="17" customWidth="1"/>
    <col min="8716" max="8960" width="9.109375" style="17"/>
    <col min="8961" max="8961" width="0.109375" style="17" customWidth="1"/>
    <col min="8962" max="8962" width="10.88671875" style="17" customWidth="1"/>
    <col min="8963" max="8963" width="5.88671875" style="17" customWidth="1"/>
    <col min="8964" max="8964" width="1.109375" style="17" customWidth="1"/>
    <col min="8965" max="8965" width="4" style="17" customWidth="1"/>
    <col min="8966" max="8966" width="10.33203125" style="17" customWidth="1"/>
    <col min="8967" max="8967" width="12" style="17" customWidth="1"/>
    <col min="8968" max="8968" width="5.109375" style="17" customWidth="1"/>
    <col min="8969" max="8969" width="11.6640625" style="17" customWidth="1"/>
    <col min="8970" max="8970" width="14.33203125" style="17" customWidth="1"/>
    <col min="8971" max="8971" width="19.109375" style="17" customWidth="1"/>
    <col min="8972" max="9216" width="9.109375" style="17"/>
    <col min="9217" max="9217" width="0.109375" style="17" customWidth="1"/>
    <col min="9218" max="9218" width="10.88671875" style="17" customWidth="1"/>
    <col min="9219" max="9219" width="5.88671875" style="17" customWidth="1"/>
    <col min="9220" max="9220" width="1.109375" style="17" customWidth="1"/>
    <col min="9221" max="9221" width="4" style="17" customWidth="1"/>
    <col min="9222" max="9222" width="10.33203125" style="17" customWidth="1"/>
    <col min="9223" max="9223" width="12" style="17" customWidth="1"/>
    <col min="9224" max="9224" width="5.109375" style="17" customWidth="1"/>
    <col min="9225" max="9225" width="11.6640625" style="17" customWidth="1"/>
    <col min="9226" max="9226" width="14.33203125" style="17" customWidth="1"/>
    <col min="9227" max="9227" width="19.109375" style="17" customWidth="1"/>
    <col min="9228" max="9472" width="9.109375" style="17"/>
    <col min="9473" max="9473" width="0.109375" style="17" customWidth="1"/>
    <col min="9474" max="9474" width="10.88671875" style="17" customWidth="1"/>
    <col min="9475" max="9475" width="5.88671875" style="17" customWidth="1"/>
    <col min="9476" max="9476" width="1.109375" style="17" customWidth="1"/>
    <col min="9477" max="9477" width="4" style="17" customWidth="1"/>
    <col min="9478" max="9478" width="10.33203125" style="17" customWidth="1"/>
    <col min="9479" max="9479" width="12" style="17" customWidth="1"/>
    <col min="9480" max="9480" width="5.109375" style="17" customWidth="1"/>
    <col min="9481" max="9481" width="11.6640625" style="17" customWidth="1"/>
    <col min="9482" max="9482" width="14.33203125" style="17" customWidth="1"/>
    <col min="9483" max="9483" width="19.109375" style="17" customWidth="1"/>
    <col min="9484" max="9728" width="9.109375" style="17"/>
    <col min="9729" max="9729" width="0.109375" style="17" customWidth="1"/>
    <col min="9730" max="9730" width="10.88671875" style="17" customWidth="1"/>
    <col min="9731" max="9731" width="5.88671875" style="17" customWidth="1"/>
    <col min="9732" max="9732" width="1.109375" style="17" customWidth="1"/>
    <col min="9733" max="9733" width="4" style="17" customWidth="1"/>
    <col min="9734" max="9734" width="10.33203125" style="17" customWidth="1"/>
    <col min="9735" max="9735" width="12" style="17" customWidth="1"/>
    <col min="9736" max="9736" width="5.109375" style="17" customWidth="1"/>
    <col min="9737" max="9737" width="11.6640625" style="17" customWidth="1"/>
    <col min="9738" max="9738" width="14.33203125" style="17" customWidth="1"/>
    <col min="9739" max="9739" width="19.109375" style="17" customWidth="1"/>
    <col min="9740" max="9984" width="9.109375" style="17"/>
    <col min="9985" max="9985" width="0.109375" style="17" customWidth="1"/>
    <col min="9986" max="9986" width="10.88671875" style="17" customWidth="1"/>
    <col min="9987" max="9987" width="5.88671875" style="17" customWidth="1"/>
    <col min="9988" max="9988" width="1.109375" style="17" customWidth="1"/>
    <col min="9989" max="9989" width="4" style="17" customWidth="1"/>
    <col min="9990" max="9990" width="10.33203125" style="17" customWidth="1"/>
    <col min="9991" max="9991" width="12" style="17" customWidth="1"/>
    <col min="9992" max="9992" width="5.109375" style="17" customWidth="1"/>
    <col min="9993" max="9993" width="11.6640625" style="17" customWidth="1"/>
    <col min="9994" max="9994" width="14.33203125" style="17" customWidth="1"/>
    <col min="9995" max="9995" width="19.109375" style="17" customWidth="1"/>
    <col min="9996" max="10240" width="9.109375" style="17"/>
    <col min="10241" max="10241" width="0.109375" style="17" customWidth="1"/>
    <col min="10242" max="10242" width="10.88671875" style="17" customWidth="1"/>
    <col min="10243" max="10243" width="5.88671875" style="17" customWidth="1"/>
    <col min="10244" max="10244" width="1.109375" style="17" customWidth="1"/>
    <col min="10245" max="10245" width="4" style="17" customWidth="1"/>
    <col min="10246" max="10246" width="10.33203125" style="17" customWidth="1"/>
    <col min="10247" max="10247" width="12" style="17" customWidth="1"/>
    <col min="10248" max="10248" width="5.109375" style="17" customWidth="1"/>
    <col min="10249" max="10249" width="11.6640625" style="17" customWidth="1"/>
    <col min="10250" max="10250" width="14.33203125" style="17" customWidth="1"/>
    <col min="10251" max="10251" width="19.109375" style="17" customWidth="1"/>
    <col min="10252" max="10496" width="9.109375" style="17"/>
    <col min="10497" max="10497" width="0.109375" style="17" customWidth="1"/>
    <col min="10498" max="10498" width="10.88671875" style="17" customWidth="1"/>
    <col min="10499" max="10499" width="5.88671875" style="17" customWidth="1"/>
    <col min="10500" max="10500" width="1.109375" style="17" customWidth="1"/>
    <col min="10501" max="10501" width="4" style="17" customWidth="1"/>
    <col min="10502" max="10502" width="10.33203125" style="17" customWidth="1"/>
    <col min="10503" max="10503" width="12" style="17" customWidth="1"/>
    <col min="10504" max="10504" width="5.109375" style="17" customWidth="1"/>
    <col min="10505" max="10505" width="11.6640625" style="17" customWidth="1"/>
    <col min="10506" max="10506" width="14.33203125" style="17" customWidth="1"/>
    <col min="10507" max="10507" width="19.109375" style="17" customWidth="1"/>
    <col min="10508" max="10752" width="9.109375" style="17"/>
    <col min="10753" max="10753" width="0.109375" style="17" customWidth="1"/>
    <col min="10754" max="10754" width="10.88671875" style="17" customWidth="1"/>
    <col min="10755" max="10755" width="5.88671875" style="17" customWidth="1"/>
    <col min="10756" max="10756" width="1.109375" style="17" customWidth="1"/>
    <col min="10757" max="10757" width="4" style="17" customWidth="1"/>
    <col min="10758" max="10758" width="10.33203125" style="17" customWidth="1"/>
    <col min="10759" max="10759" width="12" style="17" customWidth="1"/>
    <col min="10760" max="10760" width="5.109375" style="17" customWidth="1"/>
    <col min="10761" max="10761" width="11.6640625" style="17" customWidth="1"/>
    <col min="10762" max="10762" width="14.33203125" style="17" customWidth="1"/>
    <col min="10763" max="10763" width="19.109375" style="17" customWidth="1"/>
    <col min="10764" max="11008" width="9.109375" style="17"/>
    <col min="11009" max="11009" width="0.109375" style="17" customWidth="1"/>
    <col min="11010" max="11010" width="10.88671875" style="17" customWidth="1"/>
    <col min="11011" max="11011" width="5.88671875" style="17" customWidth="1"/>
    <col min="11012" max="11012" width="1.109375" style="17" customWidth="1"/>
    <col min="11013" max="11013" width="4" style="17" customWidth="1"/>
    <col min="11014" max="11014" width="10.33203125" style="17" customWidth="1"/>
    <col min="11015" max="11015" width="12" style="17" customWidth="1"/>
    <col min="11016" max="11016" width="5.109375" style="17" customWidth="1"/>
    <col min="11017" max="11017" width="11.6640625" style="17" customWidth="1"/>
    <col min="11018" max="11018" width="14.33203125" style="17" customWidth="1"/>
    <col min="11019" max="11019" width="19.109375" style="17" customWidth="1"/>
    <col min="11020" max="11264" width="9.109375" style="17"/>
    <col min="11265" max="11265" width="0.109375" style="17" customWidth="1"/>
    <col min="11266" max="11266" width="10.88671875" style="17" customWidth="1"/>
    <col min="11267" max="11267" width="5.88671875" style="17" customWidth="1"/>
    <col min="11268" max="11268" width="1.109375" style="17" customWidth="1"/>
    <col min="11269" max="11269" width="4" style="17" customWidth="1"/>
    <col min="11270" max="11270" width="10.33203125" style="17" customWidth="1"/>
    <col min="11271" max="11271" width="12" style="17" customWidth="1"/>
    <col min="11272" max="11272" width="5.109375" style="17" customWidth="1"/>
    <col min="11273" max="11273" width="11.6640625" style="17" customWidth="1"/>
    <col min="11274" max="11274" width="14.33203125" style="17" customWidth="1"/>
    <col min="11275" max="11275" width="19.109375" style="17" customWidth="1"/>
    <col min="11276" max="11520" width="9.109375" style="17"/>
    <col min="11521" max="11521" width="0.109375" style="17" customWidth="1"/>
    <col min="11522" max="11522" width="10.88671875" style="17" customWidth="1"/>
    <col min="11523" max="11523" width="5.88671875" style="17" customWidth="1"/>
    <col min="11524" max="11524" width="1.109375" style="17" customWidth="1"/>
    <col min="11525" max="11525" width="4" style="17" customWidth="1"/>
    <col min="11526" max="11526" width="10.33203125" style="17" customWidth="1"/>
    <col min="11527" max="11527" width="12" style="17" customWidth="1"/>
    <col min="11528" max="11528" width="5.109375" style="17" customWidth="1"/>
    <col min="11529" max="11529" width="11.6640625" style="17" customWidth="1"/>
    <col min="11530" max="11530" width="14.33203125" style="17" customWidth="1"/>
    <col min="11531" max="11531" width="19.109375" style="17" customWidth="1"/>
    <col min="11532" max="11776" width="9.109375" style="17"/>
    <col min="11777" max="11777" width="0.109375" style="17" customWidth="1"/>
    <col min="11778" max="11778" width="10.88671875" style="17" customWidth="1"/>
    <col min="11779" max="11779" width="5.88671875" style="17" customWidth="1"/>
    <col min="11780" max="11780" width="1.109375" style="17" customWidth="1"/>
    <col min="11781" max="11781" width="4" style="17" customWidth="1"/>
    <col min="11782" max="11782" width="10.33203125" style="17" customWidth="1"/>
    <col min="11783" max="11783" width="12" style="17" customWidth="1"/>
    <col min="11784" max="11784" width="5.109375" style="17" customWidth="1"/>
    <col min="11785" max="11785" width="11.6640625" style="17" customWidth="1"/>
    <col min="11786" max="11786" width="14.33203125" style="17" customWidth="1"/>
    <col min="11787" max="11787" width="19.109375" style="17" customWidth="1"/>
    <col min="11788" max="12032" width="9.109375" style="17"/>
    <col min="12033" max="12033" width="0.109375" style="17" customWidth="1"/>
    <col min="12034" max="12034" width="10.88671875" style="17" customWidth="1"/>
    <col min="12035" max="12035" width="5.88671875" style="17" customWidth="1"/>
    <col min="12036" max="12036" width="1.109375" style="17" customWidth="1"/>
    <col min="12037" max="12037" width="4" style="17" customWidth="1"/>
    <col min="12038" max="12038" width="10.33203125" style="17" customWidth="1"/>
    <col min="12039" max="12039" width="12" style="17" customWidth="1"/>
    <col min="12040" max="12040" width="5.109375" style="17" customWidth="1"/>
    <col min="12041" max="12041" width="11.6640625" style="17" customWidth="1"/>
    <col min="12042" max="12042" width="14.33203125" style="17" customWidth="1"/>
    <col min="12043" max="12043" width="19.109375" style="17" customWidth="1"/>
    <col min="12044" max="12288" width="9.109375" style="17"/>
    <col min="12289" max="12289" width="0.109375" style="17" customWidth="1"/>
    <col min="12290" max="12290" width="10.88671875" style="17" customWidth="1"/>
    <col min="12291" max="12291" width="5.88671875" style="17" customWidth="1"/>
    <col min="12292" max="12292" width="1.109375" style="17" customWidth="1"/>
    <col min="12293" max="12293" width="4" style="17" customWidth="1"/>
    <col min="12294" max="12294" width="10.33203125" style="17" customWidth="1"/>
    <col min="12295" max="12295" width="12" style="17" customWidth="1"/>
    <col min="12296" max="12296" width="5.109375" style="17" customWidth="1"/>
    <col min="12297" max="12297" width="11.6640625" style="17" customWidth="1"/>
    <col min="12298" max="12298" width="14.33203125" style="17" customWidth="1"/>
    <col min="12299" max="12299" width="19.109375" style="17" customWidth="1"/>
    <col min="12300" max="12544" width="9.109375" style="17"/>
    <col min="12545" max="12545" width="0.109375" style="17" customWidth="1"/>
    <col min="12546" max="12546" width="10.88671875" style="17" customWidth="1"/>
    <col min="12547" max="12547" width="5.88671875" style="17" customWidth="1"/>
    <col min="12548" max="12548" width="1.109375" style="17" customWidth="1"/>
    <col min="12549" max="12549" width="4" style="17" customWidth="1"/>
    <col min="12550" max="12550" width="10.33203125" style="17" customWidth="1"/>
    <col min="12551" max="12551" width="12" style="17" customWidth="1"/>
    <col min="12552" max="12552" width="5.109375" style="17" customWidth="1"/>
    <col min="12553" max="12553" width="11.6640625" style="17" customWidth="1"/>
    <col min="12554" max="12554" width="14.33203125" style="17" customWidth="1"/>
    <col min="12555" max="12555" width="19.109375" style="17" customWidth="1"/>
    <col min="12556" max="12800" width="9.109375" style="17"/>
    <col min="12801" max="12801" width="0.109375" style="17" customWidth="1"/>
    <col min="12802" max="12802" width="10.88671875" style="17" customWidth="1"/>
    <col min="12803" max="12803" width="5.88671875" style="17" customWidth="1"/>
    <col min="12804" max="12804" width="1.109375" style="17" customWidth="1"/>
    <col min="12805" max="12805" width="4" style="17" customWidth="1"/>
    <col min="12806" max="12806" width="10.33203125" style="17" customWidth="1"/>
    <col min="12807" max="12807" width="12" style="17" customWidth="1"/>
    <col min="12808" max="12808" width="5.109375" style="17" customWidth="1"/>
    <col min="12809" max="12809" width="11.6640625" style="17" customWidth="1"/>
    <col min="12810" max="12810" width="14.33203125" style="17" customWidth="1"/>
    <col min="12811" max="12811" width="19.109375" style="17" customWidth="1"/>
    <col min="12812" max="13056" width="9.109375" style="17"/>
    <col min="13057" max="13057" width="0.109375" style="17" customWidth="1"/>
    <col min="13058" max="13058" width="10.88671875" style="17" customWidth="1"/>
    <col min="13059" max="13059" width="5.88671875" style="17" customWidth="1"/>
    <col min="13060" max="13060" width="1.109375" style="17" customWidth="1"/>
    <col min="13061" max="13061" width="4" style="17" customWidth="1"/>
    <col min="13062" max="13062" width="10.33203125" style="17" customWidth="1"/>
    <col min="13063" max="13063" width="12" style="17" customWidth="1"/>
    <col min="13064" max="13064" width="5.109375" style="17" customWidth="1"/>
    <col min="13065" max="13065" width="11.6640625" style="17" customWidth="1"/>
    <col min="13066" max="13066" width="14.33203125" style="17" customWidth="1"/>
    <col min="13067" max="13067" width="19.109375" style="17" customWidth="1"/>
    <col min="13068" max="13312" width="9.109375" style="17"/>
    <col min="13313" max="13313" width="0.109375" style="17" customWidth="1"/>
    <col min="13314" max="13314" width="10.88671875" style="17" customWidth="1"/>
    <col min="13315" max="13315" width="5.88671875" style="17" customWidth="1"/>
    <col min="13316" max="13316" width="1.109375" style="17" customWidth="1"/>
    <col min="13317" max="13317" width="4" style="17" customWidth="1"/>
    <col min="13318" max="13318" width="10.33203125" style="17" customWidth="1"/>
    <col min="13319" max="13319" width="12" style="17" customWidth="1"/>
    <col min="13320" max="13320" width="5.109375" style="17" customWidth="1"/>
    <col min="13321" max="13321" width="11.6640625" style="17" customWidth="1"/>
    <col min="13322" max="13322" width="14.33203125" style="17" customWidth="1"/>
    <col min="13323" max="13323" width="19.109375" style="17" customWidth="1"/>
    <col min="13324" max="13568" width="9.109375" style="17"/>
    <col min="13569" max="13569" width="0.109375" style="17" customWidth="1"/>
    <col min="13570" max="13570" width="10.88671875" style="17" customWidth="1"/>
    <col min="13571" max="13571" width="5.88671875" style="17" customWidth="1"/>
    <col min="13572" max="13572" width="1.109375" style="17" customWidth="1"/>
    <col min="13573" max="13573" width="4" style="17" customWidth="1"/>
    <col min="13574" max="13574" width="10.33203125" style="17" customWidth="1"/>
    <col min="13575" max="13575" width="12" style="17" customWidth="1"/>
    <col min="13576" max="13576" width="5.109375" style="17" customWidth="1"/>
    <col min="13577" max="13577" width="11.6640625" style="17" customWidth="1"/>
    <col min="13578" max="13578" width="14.33203125" style="17" customWidth="1"/>
    <col min="13579" max="13579" width="19.109375" style="17" customWidth="1"/>
    <col min="13580" max="13824" width="9.109375" style="17"/>
    <col min="13825" max="13825" width="0.109375" style="17" customWidth="1"/>
    <col min="13826" max="13826" width="10.88671875" style="17" customWidth="1"/>
    <col min="13827" max="13827" width="5.88671875" style="17" customWidth="1"/>
    <col min="13828" max="13828" width="1.109375" style="17" customWidth="1"/>
    <col min="13829" max="13829" width="4" style="17" customWidth="1"/>
    <col min="13830" max="13830" width="10.33203125" style="17" customWidth="1"/>
    <col min="13831" max="13831" width="12" style="17" customWidth="1"/>
    <col min="13832" max="13832" width="5.109375" style="17" customWidth="1"/>
    <col min="13833" max="13833" width="11.6640625" style="17" customWidth="1"/>
    <col min="13834" max="13834" width="14.33203125" style="17" customWidth="1"/>
    <col min="13835" max="13835" width="19.109375" style="17" customWidth="1"/>
    <col min="13836" max="14080" width="9.109375" style="17"/>
    <col min="14081" max="14081" width="0.109375" style="17" customWidth="1"/>
    <col min="14082" max="14082" width="10.88671875" style="17" customWidth="1"/>
    <col min="14083" max="14083" width="5.88671875" style="17" customWidth="1"/>
    <col min="14084" max="14084" width="1.109375" style="17" customWidth="1"/>
    <col min="14085" max="14085" width="4" style="17" customWidth="1"/>
    <col min="14086" max="14086" width="10.33203125" style="17" customWidth="1"/>
    <col min="14087" max="14087" width="12" style="17" customWidth="1"/>
    <col min="14088" max="14088" width="5.109375" style="17" customWidth="1"/>
    <col min="14089" max="14089" width="11.6640625" style="17" customWidth="1"/>
    <col min="14090" max="14090" width="14.33203125" style="17" customWidth="1"/>
    <col min="14091" max="14091" width="19.109375" style="17" customWidth="1"/>
    <col min="14092" max="14336" width="9.109375" style="17"/>
    <col min="14337" max="14337" width="0.109375" style="17" customWidth="1"/>
    <col min="14338" max="14338" width="10.88671875" style="17" customWidth="1"/>
    <col min="14339" max="14339" width="5.88671875" style="17" customWidth="1"/>
    <col min="14340" max="14340" width="1.109375" style="17" customWidth="1"/>
    <col min="14341" max="14341" width="4" style="17" customWidth="1"/>
    <col min="14342" max="14342" width="10.33203125" style="17" customWidth="1"/>
    <col min="14343" max="14343" width="12" style="17" customWidth="1"/>
    <col min="14344" max="14344" width="5.109375" style="17" customWidth="1"/>
    <col min="14345" max="14345" width="11.6640625" style="17" customWidth="1"/>
    <col min="14346" max="14346" width="14.33203125" style="17" customWidth="1"/>
    <col min="14347" max="14347" width="19.109375" style="17" customWidth="1"/>
    <col min="14348" max="14592" width="9.109375" style="17"/>
    <col min="14593" max="14593" width="0.109375" style="17" customWidth="1"/>
    <col min="14594" max="14594" width="10.88671875" style="17" customWidth="1"/>
    <col min="14595" max="14595" width="5.88671875" style="17" customWidth="1"/>
    <col min="14596" max="14596" width="1.109375" style="17" customWidth="1"/>
    <col min="14597" max="14597" width="4" style="17" customWidth="1"/>
    <col min="14598" max="14598" width="10.33203125" style="17" customWidth="1"/>
    <col min="14599" max="14599" width="12" style="17" customWidth="1"/>
    <col min="14600" max="14600" width="5.109375" style="17" customWidth="1"/>
    <col min="14601" max="14601" width="11.6640625" style="17" customWidth="1"/>
    <col min="14602" max="14602" width="14.33203125" style="17" customWidth="1"/>
    <col min="14603" max="14603" width="19.109375" style="17" customWidth="1"/>
    <col min="14604" max="14848" width="9.109375" style="17"/>
    <col min="14849" max="14849" width="0.109375" style="17" customWidth="1"/>
    <col min="14850" max="14850" width="10.88671875" style="17" customWidth="1"/>
    <col min="14851" max="14851" width="5.88671875" style="17" customWidth="1"/>
    <col min="14852" max="14852" width="1.109375" style="17" customWidth="1"/>
    <col min="14853" max="14853" width="4" style="17" customWidth="1"/>
    <col min="14854" max="14854" width="10.33203125" style="17" customWidth="1"/>
    <col min="14855" max="14855" width="12" style="17" customWidth="1"/>
    <col min="14856" max="14856" width="5.109375" style="17" customWidth="1"/>
    <col min="14857" max="14857" width="11.6640625" style="17" customWidth="1"/>
    <col min="14858" max="14858" width="14.33203125" style="17" customWidth="1"/>
    <col min="14859" max="14859" width="19.109375" style="17" customWidth="1"/>
    <col min="14860" max="15104" width="9.109375" style="17"/>
    <col min="15105" max="15105" width="0.109375" style="17" customWidth="1"/>
    <col min="15106" max="15106" width="10.88671875" style="17" customWidth="1"/>
    <col min="15107" max="15107" width="5.88671875" style="17" customWidth="1"/>
    <col min="15108" max="15108" width="1.109375" style="17" customWidth="1"/>
    <col min="15109" max="15109" width="4" style="17" customWidth="1"/>
    <col min="15110" max="15110" width="10.33203125" style="17" customWidth="1"/>
    <col min="15111" max="15111" width="12" style="17" customWidth="1"/>
    <col min="15112" max="15112" width="5.109375" style="17" customWidth="1"/>
    <col min="15113" max="15113" width="11.6640625" style="17" customWidth="1"/>
    <col min="15114" max="15114" width="14.33203125" style="17" customWidth="1"/>
    <col min="15115" max="15115" width="19.109375" style="17" customWidth="1"/>
    <col min="15116" max="15360" width="9.109375" style="17"/>
    <col min="15361" max="15361" width="0.109375" style="17" customWidth="1"/>
    <col min="15362" max="15362" width="10.88671875" style="17" customWidth="1"/>
    <col min="15363" max="15363" width="5.88671875" style="17" customWidth="1"/>
    <col min="15364" max="15364" width="1.109375" style="17" customWidth="1"/>
    <col min="15365" max="15365" width="4" style="17" customWidth="1"/>
    <col min="15366" max="15366" width="10.33203125" style="17" customWidth="1"/>
    <col min="15367" max="15367" width="12" style="17" customWidth="1"/>
    <col min="15368" max="15368" width="5.109375" style="17" customWidth="1"/>
    <col min="15369" max="15369" width="11.6640625" style="17" customWidth="1"/>
    <col min="15370" max="15370" width="14.33203125" style="17" customWidth="1"/>
    <col min="15371" max="15371" width="19.109375" style="17" customWidth="1"/>
    <col min="15372" max="15616" width="9.109375" style="17"/>
    <col min="15617" max="15617" width="0.109375" style="17" customWidth="1"/>
    <col min="15618" max="15618" width="10.88671875" style="17" customWidth="1"/>
    <col min="15619" max="15619" width="5.88671875" style="17" customWidth="1"/>
    <col min="15620" max="15620" width="1.109375" style="17" customWidth="1"/>
    <col min="15621" max="15621" width="4" style="17" customWidth="1"/>
    <col min="15622" max="15622" width="10.33203125" style="17" customWidth="1"/>
    <col min="15623" max="15623" width="12" style="17" customWidth="1"/>
    <col min="15624" max="15624" width="5.109375" style="17" customWidth="1"/>
    <col min="15625" max="15625" width="11.6640625" style="17" customWidth="1"/>
    <col min="15626" max="15626" width="14.33203125" style="17" customWidth="1"/>
    <col min="15627" max="15627" width="19.109375" style="17" customWidth="1"/>
    <col min="15628" max="15872" width="9.109375" style="17"/>
    <col min="15873" max="15873" width="0.109375" style="17" customWidth="1"/>
    <col min="15874" max="15874" width="10.88671875" style="17" customWidth="1"/>
    <col min="15875" max="15875" width="5.88671875" style="17" customWidth="1"/>
    <col min="15876" max="15876" width="1.109375" style="17" customWidth="1"/>
    <col min="15877" max="15877" width="4" style="17" customWidth="1"/>
    <col min="15878" max="15878" width="10.33203125" style="17" customWidth="1"/>
    <col min="15879" max="15879" width="12" style="17" customWidth="1"/>
    <col min="15880" max="15880" width="5.109375" style="17" customWidth="1"/>
    <col min="15881" max="15881" width="11.6640625" style="17" customWidth="1"/>
    <col min="15882" max="15882" width="14.33203125" style="17" customWidth="1"/>
    <col min="15883" max="15883" width="19.109375" style="17" customWidth="1"/>
    <col min="15884" max="16128" width="9.109375" style="17"/>
    <col min="16129" max="16129" width="0.109375" style="17" customWidth="1"/>
    <col min="16130" max="16130" width="10.88671875" style="17" customWidth="1"/>
    <col min="16131" max="16131" width="5.88671875" style="17" customWidth="1"/>
    <col min="16132" max="16132" width="1.109375" style="17" customWidth="1"/>
    <col min="16133" max="16133" width="4" style="17" customWidth="1"/>
    <col min="16134" max="16134" width="10.33203125" style="17" customWidth="1"/>
    <col min="16135" max="16135" width="12" style="17" customWidth="1"/>
    <col min="16136" max="16136" width="5.109375" style="17" customWidth="1"/>
    <col min="16137" max="16137" width="11.6640625" style="17" customWidth="1"/>
    <col min="16138" max="16138" width="14.33203125" style="17" customWidth="1"/>
    <col min="16139" max="16139" width="19.109375" style="17" customWidth="1"/>
    <col min="16140" max="16384" width="9.109375" style="17"/>
  </cols>
  <sheetData>
    <row r="1" spans="1:13" ht="58.2" customHeight="1">
      <c r="A1" s="16"/>
      <c r="B1" s="322"/>
      <c r="C1" s="323"/>
      <c r="D1" s="323"/>
      <c r="E1" s="323"/>
      <c r="F1" s="323"/>
      <c r="G1" s="323"/>
      <c r="H1" s="323"/>
      <c r="I1" s="323"/>
      <c r="J1" s="323"/>
      <c r="K1" s="324"/>
    </row>
    <row r="2" spans="1:13" ht="10.95" customHeight="1">
      <c r="A2" s="18"/>
      <c r="B2" s="325" t="s">
        <v>46</v>
      </c>
      <c r="C2" s="326"/>
      <c r="D2" s="326"/>
      <c r="E2" s="326"/>
      <c r="F2" s="326"/>
      <c r="G2" s="326"/>
      <c r="H2" s="326"/>
      <c r="I2" s="326"/>
      <c r="J2" s="326"/>
      <c r="K2" s="327"/>
    </row>
    <row r="3" spans="1:13">
      <c r="A3" s="18"/>
      <c r="B3" s="328" t="s">
        <v>79</v>
      </c>
      <c r="C3" s="329"/>
      <c r="D3" s="329"/>
      <c r="E3" s="329"/>
      <c r="F3" s="329"/>
      <c r="G3" s="329"/>
      <c r="H3" s="334" t="s">
        <v>47</v>
      </c>
      <c r="I3" s="334"/>
      <c r="J3" s="334"/>
      <c r="K3" s="335"/>
    </row>
    <row r="4" spans="1:13">
      <c r="A4" s="18"/>
      <c r="B4" s="330"/>
      <c r="C4" s="331"/>
      <c r="D4" s="331"/>
      <c r="E4" s="331"/>
      <c r="F4" s="331"/>
      <c r="G4" s="331"/>
      <c r="H4" s="336" t="s">
        <v>48</v>
      </c>
      <c r="I4" s="336"/>
      <c r="J4" s="336"/>
      <c r="K4" s="337"/>
    </row>
    <row r="5" spans="1:13">
      <c r="A5" s="18"/>
      <c r="B5" s="332"/>
      <c r="C5" s="333"/>
      <c r="D5" s="333"/>
      <c r="E5" s="333"/>
      <c r="F5" s="333"/>
      <c r="G5" s="333"/>
      <c r="H5" s="338" t="s">
        <v>49</v>
      </c>
      <c r="I5" s="338"/>
      <c r="J5" s="338"/>
      <c r="K5" s="339"/>
    </row>
    <row r="6" spans="1:13">
      <c r="A6" s="18"/>
      <c r="B6" s="303" t="s">
        <v>50</v>
      </c>
      <c r="C6" s="304"/>
      <c r="D6" s="304"/>
      <c r="E6" s="304"/>
      <c r="F6" s="304"/>
      <c r="G6" s="304"/>
      <c r="H6" s="304"/>
      <c r="I6" s="304"/>
      <c r="J6" s="304"/>
      <c r="K6" s="305"/>
    </row>
    <row r="7" spans="1:13" ht="39.6" customHeight="1">
      <c r="A7" s="18"/>
      <c r="B7" s="315" t="s">
        <v>56</v>
      </c>
      <c r="C7" s="316"/>
      <c r="D7" s="316"/>
      <c r="E7" s="316"/>
      <c r="F7" s="316"/>
      <c r="G7" s="316"/>
      <c r="H7" s="316"/>
      <c r="I7" s="316"/>
      <c r="J7" s="316"/>
      <c r="K7" s="317"/>
    </row>
    <row r="8" spans="1:13">
      <c r="A8" s="18"/>
      <c r="B8" s="303" t="s">
        <v>51</v>
      </c>
      <c r="C8" s="304"/>
      <c r="D8" s="304"/>
      <c r="E8" s="304"/>
      <c r="F8" s="304"/>
      <c r="G8" s="304"/>
      <c r="H8" s="304"/>
      <c r="I8" s="304"/>
      <c r="J8" s="304"/>
      <c r="K8" s="305"/>
    </row>
    <row r="9" spans="1:13" ht="36.75" customHeight="1">
      <c r="A9" s="16"/>
      <c r="B9" s="318" t="s">
        <v>84</v>
      </c>
      <c r="C9" s="319"/>
      <c r="D9" s="319"/>
      <c r="E9" s="319"/>
      <c r="F9" s="319"/>
      <c r="G9" s="319"/>
      <c r="H9" s="319"/>
      <c r="I9" s="319"/>
      <c r="J9" s="319"/>
      <c r="K9" s="320"/>
      <c r="L9" s="21" t="s">
        <v>31</v>
      </c>
    </row>
    <row r="10" spans="1:13" ht="15" customHeight="1">
      <c r="A10" s="16"/>
      <c r="B10" s="303" t="s">
        <v>87</v>
      </c>
      <c r="C10" s="304"/>
      <c r="D10" s="304"/>
      <c r="E10" s="304"/>
      <c r="F10" s="304"/>
      <c r="G10" s="304"/>
      <c r="H10" s="304"/>
      <c r="I10" s="304"/>
      <c r="J10" s="304"/>
      <c r="K10" s="305"/>
      <c r="L10" s="21"/>
    </row>
    <row r="11" spans="1:13" ht="22.5" customHeight="1">
      <c r="A11" s="16"/>
      <c r="B11" s="318" t="s">
        <v>86</v>
      </c>
      <c r="C11" s="319"/>
      <c r="D11" s="319"/>
      <c r="E11" s="319"/>
      <c r="F11" s="319"/>
      <c r="G11" s="319"/>
      <c r="H11" s="319"/>
      <c r="I11" s="319"/>
      <c r="J11" s="319"/>
      <c r="K11" s="320"/>
      <c r="L11" s="21"/>
      <c r="M11" s="21" t="s">
        <v>31</v>
      </c>
    </row>
    <row r="12" spans="1:13" ht="15.6" customHeight="1">
      <c r="A12" s="303" t="s">
        <v>52</v>
      </c>
      <c r="B12" s="304"/>
      <c r="C12" s="304"/>
      <c r="D12" s="304"/>
      <c r="E12" s="304"/>
      <c r="F12" s="304"/>
      <c r="G12" s="304"/>
      <c r="H12" s="304"/>
      <c r="I12" s="304"/>
      <c r="J12" s="304"/>
      <c r="K12" s="321"/>
    </row>
    <row r="13" spans="1:13" ht="30" customHeight="1">
      <c r="A13" s="18"/>
      <c r="B13" s="312" t="s">
        <v>85</v>
      </c>
      <c r="C13" s="313"/>
      <c r="D13" s="313"/>
      <c r="E13" s="313"/>
      <c r="F13" s="313"/>
      <c r="G13" s="313"/>
      <c r="H13" s="313"/>
      <c r="I13" s="313"/>
      <c r="J13" s="313"/>
      <c r="K13" s="314"/>
    </row>
    <row r="14" spans="1:13" ht="15" customHeight="1">
      <c r="A14" s="18"/>
      <c r="B14" s="303" t="s">
        <v>53</v>
      </c>
      <c r="C14" s="304"/>
      <c r="D14" s="304"/>
      <c r="E14" s="304"/>
      <c r="F14" s="304"/>
      <c r="G14" s="304"/>
      <c r="H14" s="304"/>
      <c r="I14" s="304"/>
      <c r="J14" s="304"/>
      <c r="K14" s="305"/>
    </row>
    <row r="15" spans="1:13" ht="15" customHeight="1">
      <c r="A15" s="18"/>
      <c r="B15" s="306" t="s">
        <v>54</v>
      </c>
      <c r="C15" s="307"/>
      <c r="D15" s="307"/>
      <c r="E15" s="307"/>
      <c r="F15" s="307"/>
      <c r="G15" s="307"/>
      <c r="H15" s="307"/>
      <c r="I15" s="307"/>
      <c r="J15" s="307"/>
      <c r="K15" s="308"/>
    </row>
    <row r="16" spans="1:13" ht="15" customHeight="1">
      <c r="A16" s="18"/>
      <c r="B16" s="306" t="s">
        <v>55</v>
      </c>
      <c r="C16" s="307"/>
      <c r="D16" s="307"/>
      <c r="E16" s="307"/>
      <c r="F16" s="307"/>
      <c r="G16" s="307"/>
      <c r="H16" s="307"/>
      <c r="I16" s="307"/>
      <c r="J16" s="307"/>
      <c r="K16" s="308"/>
    </row>
    <row r="17" spans="1:12" ht="15" customHeight="1">
      <c r="A17" s="18"/>
      <c r="B17" s="309"/>
      <c r="C17" s="310"/>
      <c r="D17" s="310"/>
      <c r="E17" s="310"/>
      <c r="F17" s="310"/>
      <c r="G17" s="310"/>
      <c r="H17" s="310"/>
      <c r="I17" s="310"/>
      <c r="J17" s="310"/>
      <c r="K17" s="311"/>
    </row>
    <row r="18" spans="1:12">
      <c r="A18" s="19"/>
      <c r="B18" s="294" t="s">
        <v>57</v>
      </c>
      <c r="C18" s="295"/>
      <c r="D18" s="295"/>
      <c r="E18" s="295"/>
      <c r="F18" s="295"/>
      <c r="G18" s="295"/>
      <c r="H18" s="295"/>
      <c r="I18" s="295"/>
      <c r="J18" s="295"/>
      <c r="K18" s="296"/>
    </row>
    <row r="19" spans="1:12" ht="33.75" customHeight="1">
      <c r="A19" s="18"/>
      <c r="B19" s="297" t="s">
        <v>236</v>
      </c>
      <c r="C19" s="298"/>
      <c r="D19" s="298"/>
      <c r="E19" s="298"/>
      <c r="F19" s="298"/>
      <c r="G19" s="298"/>
      <c r="H19" s="298"/>
      <c r="I19" s="298"/>
      <c r="J19" s="298"/>
      <c r="K19" s="299"/>
    </row>
    <row r="20" spans="1:12">
      <c r="A20" s="18"/>
      <c r="B20" s="294" t="s">
        <v>58</v>
      </c>
      <c r="C20" s="295"/>
      <c r="D20" s="295"/>
      <c r="E20" s="295"/>
      <c r="F20" s="295"/>
      <c r="G20" s="295"/>
      <c r="H20" s="295"/>
      <c r="I20" s="295"/>
      <c r="J20" s="295"/>
      <c r="K20" s="296"/>
    </row>
    <row r="21" spans="1:12" ht="22.5" customHeight="1">
      <c r="A21" s="18"/>
      <c r="B21" s="300" t="s">
        <v>235</v>
      </c>
      <c r="C21" s="301"/>
      <c r="D21" s="301"/>
      <c r="E21" s="301"/>
      <c r="F21" s="301"/>
      <c r="G21" s="301"/>
      <c r="H21" s="301"/>
      <c r="I21" s="301"/>
      <c r="J21" s="301"/>
      <c r="K21" s="302"/>
    </row>
    <row r="22" spans="1:12" ht="22.5" customHeight="1">
      <c r="A22" s="18"/>
      <c r="B22" s="284" t="s">
        <v>59</v>
      </c>
      <c r="C22" s="285"/>
      <c r="D22" s="285"/>
      <c r="E22" s="285"/>
      <c r="F22" s="285"/>
      <c r="G22" s="285"/>
      <c r="H22" s="285"/>
      <c r="I22" s="286"/>
      <c r="J22" s="287">
        <f>'odcinek B '!I850+'odcinek C'!I73</f>
        <v>0</v>
      </c>
      <c r="K22" s="288"/>
      <c r="L22" s="40"/>
    </row>
    <row r="23" spans="1:12" ht="27.75" customHeight="1">
      <c r="A23" s="18"/>
      <c r="B23" s="289" t="s">
        <v>240</v>
      </c>
      <c r="C23" s="290"/>
      <c r="D23" s="20"/>
      <c r="E23" s="291"/>
      <c r="F23" s="292"/>
      <c r="G23" s="292"/>
      <c r="H23" s="292"/>
      <c r="I23" s="292"/>
      <c r="J23" s="292"/>
      <c r="K23" s="293"/>
      <c r="L23" s="21" t="s">
        <v>31</v>
      </c>
    </row>
    <row r="24" spans="1:12" ht="13.2" customHeight="1"/>
    <row r="25" spans="1:12" ht="27.6" customHeight="1"/>
    <row r="26" spans="1:12" ht="27.6" customHeight="1"/>
  </sheetData>
  <mergeCells count="26">
    <mergeCell ref="B1:K1"/>
    <mergeCell ref="B2:K2"/>
    <mergeCell ref="B3:G5"/>
    <mergeCell ref="H3:K3"/>
    <mergeCell ref="H4:K4"/>
    <mergeCell ref="H5:K5"/>
    <mergeCell ref="B6:K6"/>
    <mergeCell ref="B7:K7"/>
    <mergeCell ref="B8:K8"/>
    <mergeCell ref="B9:K9"/>
    <mergeCell ref="A12:K12"/>
    <mergeCell ref="B10:K10"/>
    <mergeCell ref="B11:K11"/>
    <mergeCell ref="B14:K14"/>
    <mergeCell ref="B15:K15"/>
    <mergeCell ref="B16:K16"/>
    <mergeCell ref="B17:K17"/>
    <mergeCell ref="B13:K13"/>
    <mergeCell ref="B22:I22"/>
    <mergeCell ref="J22:K22"/>
    <mergeCell ref="B23:C23"/>
    <mergeCell ref="E23:K23"/>
    <mergeCell ref="B18:K18"/>
    <mergeCell ref="B19:K19"/>
    <mergeCell ref="B20:K20"/>
    <mergeCell ref="B21:K21"/>
  </mergeCells>
  <pageMargins left="0.70866141732283472" right="0.70866141732283472" top="0.74803149606299213" bottom="0.74803149606299213" header="0.31496062992125984" footer="0.31496062992125984"/>
  <pageSetup paperSize="9" scale="93" orientation="portrait" useFirstPageNumber="1" r:id="rId1"/>
  <headerFooter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3FAEB-F724-4BC3-A73F-1BD0C3F67BDC}">
  <sheetPr>
    <tabColor theme="5" tint="0.59999389629810485"/>
  </sheetPr>
  <dimension ref="A1:I850"/>
  <sheetViews>
    <sheetView tabSelected="1" view="pageBreakPreview" topLeftCell="B1" zoomScale="110" zoomScaleNormal="100" zoomScaleSheetLayoutView="110" workbookViewId="0">
      <selection activeCell="G839" sqref="G839"/>
    </sheetView>
  </sheetViews>
  <sheetFormatPr defaultColWidth="9.109375" defaultRowHeight="11.4" outlineLevelCol="1"/>
  <cols>
    <col min="1" max="1" width="8" style="5" hidden="1" customWidth="1" outlineLevel="1"/>
    <col min="2" max="2" width="10.6640625" style="5" customWidth="1" collapsed="1"/>
    <col min="3" max="3" width="10.88671875" style="7" bestFit="1" customWidth="1"/>
    <col min="4" max="4" width="8.6640625" style="7" customWidth="1"/>
    <col min="5" max="5" width="50.21875" style="9" customWidth="1"/>
    <col min="6" max="6" width="5.6640625" style="6" customWidth="1"/>
    <col min="7" max="7" width="10.33203125" style="6" customWidth="1"/>
    <col min="8" max="8" width="9.33203125" style="6" customWidth="1"/>
    <col min="9" max="9" width="17.6640625" style="4" customWidth="1"/>
    <col min="10" max="16384" width="9.109375" style="9"/>
  </cols>
  <sheetData>
    <row r="1" spans="1:9" customFormat="1" ht="52.5" customHeight="1">
      <c r="A1" s="22"/>
      <c r="B1" s="41" t="s">
        <v>41</v>
      </c>
      <c r="C1" s="345" t="s">
        <v>44</v>
      </c>
      <c r="D1" s="346"/>
      <c r="E1" s="346"/>
      <c r="F1" s="346"/>
      <c r="G1" s="346"/>
      <c r="H1" s="346"/>
      <c r="I1" s="349"/>
    </row>
    <row r="2" spans="1:9" ht="36" customHeight="1">
      <c r="A2" s="13"/>
      <c r="B2" s="42" t="s">
        <v>83</v>
      </c>
      <c r="C2" s="340" t="s">
        <v>80</v>
      </c>
      <c r="D2" s="341"/>
      <c r="E2" s="342"/>
      <c r="F2" s="342"/>
      <c r="G2" s="342"/>
      <c r="H2" s="342"/>
      <c r="I2" s="343"/>
    </row>
    <row r="3" spans="1:9" ht="24">
      <c r="A3" s="43" t="s">
        <v>0</v>
      </c>
      <c r="B3" s="43" t="s">
        <v>0</v>
      </c>
      <c r="C3" s="44" t="s">
        <v>45</v>
      </c>
      <c r="D3" s="44" t="s">
        <v>82</v>
      </c>
      <c r="E3" s="45" t="s">
        <v>42</v>
      </c>
      <c r="F3" s="45" t="s">
        <v>43</v>
      </c>
      <c r="G3" s="45" t="s">
        <v>1</v>
      </c>
      <c r="H3" s="46" t="s">
        <v>29</v>
      </c>
      <c r="I3" s="47" t="s">
        <v>30</v>
      </c>
    </row>
    <row r="4" spans="1:9" ht="13.2">
      <c r="A4" s="48" t="s">
        <v>6</v>
      </c>
      <c r="B4" s="49" t="s">
        <v>65</v>
      </c>
      <c r="C4" s="50" t="s">
        <v>36</v>
      </c>
      <c r="D4" s="51"/>
      <c r="E4" s="52" t="s">
        <v>13</v>
      </c>
      <c r="F4" s="53"/>
      <c r="G4" s="54"/>
      <c r="H4" s="55"/>
      <c r="I4" s="56"/>
    </row>
    <row r="5" spans="1:9" ht="13.2">
      <c r="A5" s="48"/>
      <c r="B5" s="49"/>
      <c r="C5" s="57"/>
      <c r="D5" s="58"/>
      <c r="E5" s="2" t="s">
        <v>2</v>
      </c>
      <c r="F5" s="3"/>
      <c r="G5" s="14"/>
      <c r="H5" s="59"/>
      <c r="I5" s="11"/>
    </row>
    <row r="6" spans="1:9" ht="12">
      <c r="A6" s="48" t="s">
        <v>3</v>
      </c>
      <c r="B6" s="49" t="s">
        <v>66</v>
      </c>
      <c r="C6" s="60" t="s">
        <v>37</v>
      </c>
      <c r="D6" s="61"/>
      <c r="E6" s="62" t="s">
        <v>64</v>
      </c>
      <c r="F6" s="63" t="s">
        <v>12</v>
      </c>
      <c r="G6" s="64" t="s">
        <v>12</v>
      </c>
      <c r="H6" s="65" t="s">
        <v>12</v>
      </c>
      <c r="I6" s="66" t="s">
        <v>12</v>
      </c>
    </row>
    <row r="7" spans="1:9" ht="20.100000000000001" customHeight="1">
      <c r="A7" s="25" t="s">
        <v>8</v>
      </c>
      <c r="B7" s="25" t="s">
        <v>67</v>
      </c>
      <c r="C7" s="67"/>
      <c r="D7" s="68"/>
      <c r="E7" s="69" t="s">
        <v>35</v>
      </c>
      <c r="F7" s="70" t="s">
        <v>15</v>
      </c>
      <c r="G7" s="71">
        <f>127*1.2</f>
        <v>152.4</v>
      </c>
      <c r="H7" s="72">
        <v>0</v>
      </c>
      <c r="I7" s="73">
        <f>ROUND($G7*H7,2)</f>
        <v>0</v>
      </c>
    </row>
    <row r="8" spans="1:9" ht="20.100000000000001" customHeight="1">
      <c r="A8" s="25" t="s">
        <v>9</v>
      </c>
      <c r="B8" s="25" t="s">
        <v>68</v>
      </c>
      <c r="C8" s="74"/>
      <c r="D8" s="75"/>
      <c r="E8" s="69" t="s">
        <v>60</v>
      </c>
      <c r="F8" s="70" t="s">
        <v>14</v>
      </c>
      <c r="G8" s="71">
        <v>410</v>
      </c>
      <c r="H8" s="72">
        <v>0</v>
      </c>
      <c r="I8" s="73">
        <f t="shared" ref="I8:I10" si="0">ROUND($G8*H8,2)</f>
        <v>0</v>
      </c>
    </row>
    <row r="9" spans="1:9" ht="20.100000000000001" customHeight="1">
      <c r="A9" s="25" t="s">
        <v>10</v>
      </c>
      <c r="B9" s="25" t="s">
        <v>69</v>
      </c>
      <c r="C9" s="74"/>
      <c r="D9" s="75"/>
      <c r="E9" s="69" t="s">
        <v>61</v>
      </c>
      <c r="F9" s="70" t="s">
        <v>14</v>
      </c>
      <c r="G9" s="71">
        <v>45</v>
      </c>
      <c r="H9" s="72">
        <v>0</v>
      </c>
      <c r="I9" s="73">
        <f t="shared" si="0"/>
        <v>0</v>
      </c>
    </row>
    <row r="10" spans="1:9" ht="22.8">
      <c r="A10" s="25" t="s">
        <v>28</v>
      </c>
      <c r="B10" s="25" t="s">
        <v>70</v>
      </c>
      <c r="C10" s="76"/>
      <c r="D10" s="76"/>
      <c r="E10" s="77" t="s">
        <v>62</v>
      </c>
      <c r="F10" s="70" t="s">
        <v>5</v>
      </c>
      <c r="G10" s="71">
        <v>31.4</v>
      </c>
      <c r="H10" s="72">
        <v>0</v>
      </c>
      <c r="I10" s="73">
        <f t="shared" si="0"/>
        <v>0</v>
      </c>
    </row>
    <row r="11" spans="1:9" ht="13.2">
      <c r="A11" s="25"/>
      <c r="B11" s="78"/>
      <c r="C11" s="79"/>
      <c r="D11" s="80"/>
      <c r="E11" s="81" t="s">
        <v>16</v>
      </c>
      <c r="F11" s="82" t="s">
        <v>34</v>
      </c>
      <c r="G11" s="15"/>
      <c r="H11" s="83"/>
      <c r="I11" s="23" t="s">
        <v>12</v>
      </c>
    </row>
    <row r="12" spans="1:9" ht="13.2">
      <c r="A12" s="48" t="s">
        <v>7</v>
      </c>
      <c r="B12" s="49" t="s">
        <v>71</v>
      </c>
      <c r="C12" s="50" t="s">
        <v>38</v>
      </c>
      <c r="D12" s="51"/>
      <c r="E12" s="52" t="s">
        <v>17</v>
      </c>
      <c r="F12" s="53"/>
      <c r="G12" s="84"/>
      <c r="H12" s="55"/>
      <c r="I12" s="56"/>
    </row>
    <row r="13" spans="1:9" ht="24">
      <c r="A13" s="48"/>
      <c r="B13" s="49"/>
      <c r="C13" s="57"/>
      <c r="D13" s="58"/>
      <c r="E13" s="85" t="s">
        <v>63</v>
      </c>
      <c r="F13" s="3"/>
      <c r="G13" s="10"/>
      <c r="H13" s="86"/>
      <c r="I13" s="24"/>
    </row>
    <row r="14" spans="1:9" ht="13.2">
      <c r="A14" s="48" t="s">
        <v>4</v>
      </c>
      <c r="B14" s="49" t="s">
        <v>72</v>
      </c>
      <c r="C14" s="87" t="s">
        <v>39</v>
      </c>
      <c r="D14" s="88"/>
      <c r="E14" s="89" t="s">
        <v>18</v>
      </c>
      <c r="F14" s="90" t="s">
        <v>12</v>
      </c>
      <c r="G14" s="91" t="s">
        <v>12</v>
      </c>
      <c r="H14" s="92"/>
      <c r="I14" s="93" t="s">
        <v>12</v>
      </c>
    </row>
    <row r="15" spans="1:9" ht="45.6">
      <c r="A15" s="25" t="s">
        <v>11</v>
      </c>
      <c r="B15" s="25" t="s">
        <v>73</v>
      </c>
      <c r="C15" s="94"/>
      <c r="D15" s="95"/>
      <c r="E15" s="96" t="s">
        <v>19</v>
      </c>
      <c r="F15" s="90" t="s">
        <v>20</v>
      </c>
      <c r="G15" s="71">
        <f>229.9*14.5-44.7*8.2</f>
        <v>2967.01</v>
      </c>
      <c r="H15" s="72">
        <v>0</v>
      </c>
      <c r="I15" s="73">
        <f>ROUND($G15*H15,2)</f>
        <v>0</v>
      </c>
    </row>
    <row r="16" spans="1:9" ht="13.2">
      <c r="A16" s="48" t="s">
        <v>21</v>
      </c>
      <c r="B16" s="49" t="s">
        <v>74</v>
      </c>
      <c r="C16" s="87" t="s">
        <v>40</v>
      </c>
      <c r="D16" s="88"/>
      <c r="E16" s="97" t="s">
        <v>22</v>
      </c>
      <c r="F16" s="90" t="s">
        <v>12</v>
      </c>
      <c r="G16" s="91" t="s">
        <v>12</v>
      </c>
      <c r="H16" s="92"/>
      <c r="I16" s="93" t="s">
        <v>12</v>
      </c>
    </row>
    <row r="17" spans="1:9" ht="34.200000000000003">
      <c r="A17" s="25" t="s">
        <v>23</v>
      </c>
      <c r="B17" s="25" t="s">
        <v>75</v>
      </c>
      <c r="C17" s="98"/>
      <c r="D17" s="99"/>
      <c r="E17" s="100" t="s">
        <v>32</v>
      </c>
      <c r="F17" s="90" t="s">
        <v>20</v>
      </c>
      <c r="G17" s="71">
        <f>35.2*14</f>
        <v>492.8</v>
      </c>
      <c r="H17" s="72">
        <v>0</v>
      </c>
      <c r="I17" s="73">
        <f t="shared" ref="I17:I19" si="1">ROUND($G17*H17,2)</f>
        <v>0</v>
      </c>
    </row>
    <row r="18" spans="1:9" ht="34.200000000000003">
      <c r="A18" s="25" t="s">
        <v>25</v>
      </c>
      <c r="B18" s="25" t="s">
        <v>76</v>
      </c>
      <c r="C18" s="101"/>
      <c r="D18" s="102"/>
      <c r="E18" s="100" t="s">
        <v>24</v>
      </c>
      <c r="F18" s="90" t="s">
        <v>20</v>
      </c>
      <c r="G18" s="71">
        <f>65.9*14</f>
        <v>922.6</v>
      </c>
      <c r="H18" s="72">
        <v>0</v>
      </c>
      <c r="I18" s="73">
        <f t="shared" si="1"/>
        <v>0</v>
      </c>
    </row>
    <row r="19" spans="1:9" ht="22.8">
      <c r="A19" s="25" t="s">
        <v>26</v>
      </c>
      <c r="B19" s="25" t="s">
        <v>77</v>
      </c>
      <c r="C19" s="101"/>
      <c r="D19" s="102"/>
      <c r="E19" s="100" t="s">
        <v>33</v>
      </c>
      <c r="F19" s="90" t="s">
        <v>20</v>
      </c>
      <c r="G19" s="71">
        <f>0.5*4*6*0*4.5 + 0.5*2.4*3.8*3 + 0.5*3.1*4.6*7.3 + 0.5*4.7*7*6.2</f>
        <v>167.72</v>
      </c>
      <c r="H19" s="72">
        <v>0</v>
      </c>
      <c r="I19" s="73">
        <f t="shared" si="1"/>
        <v>0</v>
      </c>
    </row>
    <row r="20" spans="1:9" s="27" customFormat="1" ht="22.8">
      <c r="A20" s="25"/>
      <c r="B20" s="25" t="s">
        <v>78</v>
      </c>
      <c r="C20" s="94"/>
      <c r="D20" s="94"/>
      <c r="E20" s="103" t="s">
        <v>238</v>
      </c>
      <c r="F20" s="90" t="s">
        <v>15</v>
      </c>
      <c r="G20" s="71">
        <f>(4.25+2*3.5)*17.2*2</f>
        <v>387</v>
      </c>
      <c r="H20" s="72">
        <v>0</v>
      </c>
      <c r="I20" s="73">
        <f t="shared" ref="I20" si="2">ROUND($G20*H20,2)</f>
        <v>0</v>
      </c>
    </row>
    <row r="21" spans="1:9" ht="20.100000000000001" customHeight="1">
      <c r="A21" s="48"/>
      <c r="B21" s="49"/>
      <c r="C21" s="344" t="s">
        <v>81</v>
      </c>
      <c r="D21" s="344"/>
      <c r="E21" s="344"/>
      <c r="F21" s="105"/>
      <c r="G21" s="106"/>
      <c r="H21" s="107" t="s">
        <v>12</v>
      </c>
      <c r="I21" s="108">
        <f>SUM(I7:I20)</f>
        <v>0</v>
      </c>
    </row>
    <row r="22" spans="1:9" ht="26.4">
      <c r="B22" s="41" t="s">
        <v>41</v>
      </c>
      <c r="C22" s="345" t="s">
        <v>44</v>
      </c>
      <c r="D22" s="346"/>
      <c r="E22" s="346"/>
      <c r="F22" s="346"/>
      <c r="G22" s="346"/>
      <c r="H22" s="346"/>
      <c r="I22" s="349"/>
    </row>
    <row r="23" spans="1:9" ht="26.4">
      <c r="B23" s="42" t="s">
        <v>83</v>
      </c>
      <c r="C23" s="340" t="s">
        <v>80</v>
      </c>
      <c r="D23" s="341"/>
      <c r="E23" s="342"/>
      <c r="F23" s="342"/>
      <c r="G23" s="342"/>
      <c r="H23" s="342"/>
      <c r="I23" s="343"/>
    </row>
    <row r="24" spans="1:9" ht="24">
      <c r="B24" s="43" t="s">
        <v>0</v>
      </c>
      <c r="C24" s="44" t="s">
        <v>45</v>
      </c>
      <c r="D24" s="44" t="s">
        <v>82</v>
      </c>
      <c r="E24" s="45" t="s">
        <v>42</v>
      </c>
      <c r="F24" s="45" t="s">
        <v>43</v>
      </c>
      <c r="G24" s="45" t="s">
        <v>1</v>
      </c>
      <c r="H24" s="46" t="s">
        <v>29</v>
      </c>
      <c r="I24" s="47" t="s">
        <v>30</v>
      </c>
    </row>
    <row r="25" spans="1:9" ht="13.2">
      <c r="B25" s="49" t="s">
        <v>65</v>
      </c>
      <c r="C25" s="50" t="s">
        <v>36</v>
      </c>
      <c r="D25" s="51"/>
      <c r="E25" s="52" t="s">
        <v>13</v>
      </c>
      <c r="F25" s="53"/>
      <c r="G25" s="54"/>
      <c r="H25" s="55"/>
      <c r="I25" s="56"/>
    </row>
    <row r="26" spans="1:9" ht="13.2">
      <c r="B26" s="49"/>
      <c r="C26" s="57"/>
      <c r="D26" s="58"/>
      <c r="E26" s="2" t="s">
        <v>2</v>
      </c>
      <c r="F26" s="3"/>
      <c r="G26" s="14"/>
      <c r="H26" s="59"/>
      <c r="I26" s="11"/>
    </row>
    <row r="27" spans="1:9" ht="12">
      <c r="B27" s="49" t="s">
        <v>66</v>
      </c>
      <c r="C27" s="60" t="s">
        <v>37</v>
      </c>
      <c r="D27" s="61"/>
      <c r="E27" s="62" t="s">
        <v>64</v>
      </c>
      <c r="F27" s="63" t="s">
        <v>12</v>
      </c>
      <c r="G27" s="64" t="s">
        <v>12</v>
      </c>
      <c r="H27" s="65" t="s">
        <v>12</v>
      </c>
      <c r="I27" s="66" t="s">
        <v>12</v>
      </c>
    </row>
    <row r="28" spans="1:9" ht="13.2">
      <c r="B28" s="25" t="s">
        <v>67</v>
      </c>
      <c r="C28" s="67"/>
      <c r="D28" s="68"/>
      <c r="E28" s="69" t="s">
        <v>35</v>
      </c>
      <c r="F28" s="70" t="s">
        <v>15</v>
      </c>
      <c r="G28" s="71">
        <f>127*1.2</f>
        <v>152.4</v>
      </c>
      <c r="H28" s="72">
        <v>0</v>
      </c>
      <c r="I28" s="73">
        <f>ROUND($G28*H28,2)</f>
        <v>0</v>
      </c>
    </row>
    <row r="29" spans="1:9" ht="13.2">
      <c r="B29" s="25" t="s">
        <v>68</v>
      </c>
      <c r="C29" s="74"/>
      <c r="D29" s="75"/>
      <c r="E29" s="69" t="s">
        <v>60</v>
      </c>
      <c r="F29" s="70" t="s">
        <v>14</v>
      </c>
      <c r="G29" s="71">
        <v>410</v>
      </c>
      <c r="H29" s="72">
        <v>0</v>
      </c>
      <c r="I29" s="73">
        <f t="shared" ref="I29:I31" si="3">ROUND($G29*H29,2)</f>
        <v>0</v>
      </c>
    </row>
    <row r="30" spans="1:9" ht="13.2">
      <c r="B30" s="25" t="s">
        <v>69</v>
      </c>
      <c r="C30" s="74"/>
      <c r="D30" s="75"/>
      <c r="E30" s="69" t="s">
        <v>61</v>
      </c>
      <c r="F30" s="70" t="s">
        <v>14</v>
      </c>
      <c r="G30" s="71">
        <v>45</v>
      </c>
      <c r="H30" s="72">
        <v>0</v>
      </c>
      <c r="I30" s="73">
        <f t="shared" si="3"/>
        <v>0</v>
      </c>
    </row>
    <row r="31" spans="1:9" ht="22.8">
      <c r="B31" s="25" t="s">
        <v>70</v>
      </c>
      <c r="C31" s="76"/>
      <c r="D31" s="76"/>
      <c r="E31" s="77" t="s">
        <v>62</v>
      </c>
      <c r="F31" s="70" t="s">
        <v>5</v>
      </c>
      <c r="G31" s="71">
        <v>31.4</v>
      </c>
      <c r="H31" s="72">
        <v>0</v>
      </c>
      <c r="I31" s="73">
        <f t="shared" si="3"/>
        <v>0</v>
      </c>
    </row>
    <row r="32" spans="1:9" ht="13.2">
      <c r="B32" s="78"/>
      <c r="C32" s="79"/>
      <c r="D32" s="80"/>
      <c r="E32" s="81" t="s">
        <v>16</v>
      </c>
      <c r="F32" s="82" t="s">
        <v>34</v>
      </c>
      <c r="G32" s="15"/>
      <c r="H32" s="83"/>
      <c r="I32" s="23" t="s">
        <v>12</v>
      </c>
    </row>
    <row r="33" spans="1:9" ht="13.2">
      <c r="B33" s="49" t="s">
        <v>71</v>
      </c>
      <c r="C33" s="50" t="s">
        <v>38</v>
      </c>
      <c r="D33" s="51"/>
      <c r="E33" s="52" t="s">
        <v>17</v>
      </c>
      <c r="F33" s="53"/>
      <c r="G33" s="84"/>
      <c r="H33" s="55"/>
      <c r="I33" s="56"/>
    </row>
    <row r="34" spans="1:9" s="6" customFormat="1" ht="24">
      <c r="A34" s="5"/>
      <c r="B34" s="49"/>
      <c r="C34" s="57"/>
      <c r="D34" s="58"/>
      <c r="E34" s="85" t="s">
        <v>63</v>
      </c>
      <c r="F34" s="3"/>
      <c r="G34" s="10"/>
      <c r="H34" s="86"/>
      <c r="I34" s="24"/>
    </row>
    <row r="35" spans="1:9" ht="13.2">
      <c r="B35" s="49" t="s">
        <v>72</v>
      </c>
      <c r="C35" s="87" t="s">
        <v>39</v>
      </c>
      <c r="D35" s="88"/>
      <c r="E35" s="89" t="s">
        <v>18</v>
      </c>
      <c r="F35" s="90" t="s">
        <v>12</v>
      </c>
      <c r="G35" s="91" t="s">
        <v>12</v>
      </c>
      <c r="H35" s="92"/>
      <c r="I35" s="93" t="s">
        <v>12</v>
      </c>
    </row>
    <row r="36" spans="1:9" ht="45.6">
      <c r="B36" s="25" t="s">
        <v>73</v>
      </c>
      <c r="C36" s="94"/>
      <c r="D36" s="95"/>
      <c r="E36" s="96" t="s">
        <v>19</v>
      </c>
      <c r="F36" s="90" t="s">
        <v>20</v>
      </c>
      <c r="G36" s="71">
        <f>229.9*14.5-44.7*8.2</f>
        <v>2967.01</v>
      </c>
      <c r="H36" s="72">
        <v>0</v>
      </c>
      <c r="I36" s="73">
        <f>ROUND($G36*H36,2)</f>
        <v>0</v>
      </c>
    </row>
    <row r="37" spans="1:9" ht="13.2">
      <c r="B37" s="49" t="s">
        <v>74</v>
      </c>
      <c r="C37" s="87" t="s">
        <v>40</v>
      </c>
      <c r="D37" s="88"/>
      <c r="E37" s="97" t="s">
        <v>22</v>
      </c>
      <c r="F37" s="90" t="s">
        <v>12</v>
      </c>
      <c r="G37" s="91" t="s">
        <v>12</v>
      </c>
      <c r="H37" s="92">
        <v>0</v>
      </c>
      <c r="I37" s="93" t="s">
        <v>12</v>
      </c>
    </row>
    <row r="38" spans="1:9" ht="34.200000000000003">
      <c r="B38" s="25" t="s">
        <v>75</v>
      </c>
      <c r="C38" s="98"/>
      <c r="D38" s="99"/>
      <c r="E38" s="100" t="s">
        <v>32</v>
      </c>
      <c r="F38" s="90" t="s">
        <v>20</v>
      </c>
      <c r="G38" s="71">
        <f>35.2*14</f>
        <v>492.8</v>
      </c>
      <c r="H38" s="72">
        <v>0</v>
      </c>
      <c r="I38" s="73">
        <f t="shared" ref="I38:I41" si="4">ROUND($G38*H38,2)</f>
        <v>0</v>
      </c>
    </row>
    <row r="39" spans="1:9" ht="34.200000000000003">
      <c r="B39" s="25" t="s">
        <v>76</v>
      </c>
      <c r="C39" s="101"/>
      <c r="D39" s="102"/>
      <c r="E39" s="100" t="s">
        <v>24</v>
      </c>
      <c r="F39" s="90" t="s">
        <v>20</v>
      </c>
      <c r="G39" s="71">
        <f>65.9*14</f>
        <v>922.6</v>
      </c>
      <c r="H39" s="72">
        <v>0</v>
      </c>
      <c r="I39" s="73">
        <f t="shared" si="4"/>
        <v>0</v>
      </c>
    </row>
    <row r="40" spans="1:9" ht="22.8">
      <c r="B40" s="25" t="s">
        <v>77</v>
      </c>
      <c r="C40" s="101"/>
      <c r="D40" s="102"/>
      <c r="E40" s="100" t="s">
        <v>33</v>
      </c>
      <c r="F40" s="90" t="s">
        <v>20</v>
      </c>
      <c r="G40" s="71">
        <f>0.5*4*6*0*4.5 + 0.5*2.4*3.8*3 + 0.5*3.1*4.6*7.3 + 0.5*4.7*7*6.2</f>
        <v>167.72</v>
      </c>
      <c r="H40" s="72">
        <v>0</v>
      </c>
      <c r="I40" s="73">
        <f t="shared" si="4"/>
        <v>0</v>
      </c>
    </row>
    <row r="41" spans="1:9" ht="22.8">
      <c r="B41" s="25" t="s">
        <v>78</v>
      </c>
      <c r="C41" s="94"/>
      <c r="D41" s="94"/>
      <c r="E41" s="103" t="s">
        <v>239</v>
      </c>
      <c r="F41" s="90" t="s">
        <v>15</v>
      </c>
      <c r="G41" s="71">
        <f>(4.25+2*3.5)*17.2*2</f>
        <v>387</v>
      </c>
      <c r="H41" s="72">
        <v>0</v>
      </c>
      <c r="I41" s="73">
        <f t="shared" si="4"/>
        <v>0</v>
      </c>
    </row>
    <row r="42" spans="1:9" ht="13.8">
      <c r="B42" s="49"/>
      <c r="C42" s="344" t="s">
        <v>81</v>
      </c>
      <c r="D42" s="344"/>
      <c r="E42" s="344"/>
      <c r="F42" s="105"/>
      <c r="G42" s="106"/>
      <c r="H42" s="107" t="s">
        <v>12</v>
      </c>
      <c r="I42" s="108">
        <f>SUM(I28:I41)</f>
        <v>0</v>
      </c>
    </row>
    <row r="43" spans="1:9" ht="26.4">
      <c r="B43" s="41" t="s">
        <v>41</v>
      </c>
      <c r="C43" s="345" t="s">
        <v>88</v>
      </c>
      <c r="D43" s="346"/>
      <c r="E43" s="347"/>
      <c r="F43" s="347"/>
      <c r="G43" s="347"/>
      <c r="H43" s="347"/>
      <c r="I43" s="348"/>
    </row>
    <row r="44" spans="1:9" ht="26.4">
      <c r="B44" s="42" t="s">
        <v>83</v>
      </c>
      <c r="C44" s="340" t="s">
        <v>89</v>
      </c>
      <c r="D44" s="341"/>
      <c r="E44" s="342"/>
      <c r="F44" s="342"/>
      <c r="G44" s="342"/>
      <c r="H44" s="342"/>
      <c r="I44" s="343"/>
    </row>
    <row r="45" spans="1:9" ht="24">
      <c r="B45" s="43" t="s">
        <v>0</v>
      </c>
      <c r="C45" s="44" t="s">
        <v>45</v>
      </c>
      <c r="D45" s="44" t="s">
        <v>82</v>
      </c>
      <c r="E45" s="45" t="s">
        <v>42</v>
      </c>
      <c r="F45" s="45" t="s">
        <v>43</v>
      </c>
      <c r="G45" s="45" t="s">
        <v>1</v>
      </c>
      <c r="H45" s="46" t="s">
        <v>29</v>
      </c>
      <c r="I45" s="47" t="s">
        <v>30</v>
      </c>
    </row>
    <row r="46" spans="1:9" ht="13.2">
      <c r="B46" s="49" t="s">
        <v>65</v>
      </c>
      <c r="C46" s="50" t="s">
        <v>36</v>
      </c>
      <c r="D46" s="51"/>
      <c r="E46" s="52" t="s">
        <v>13</v>
      </c>
      <c r="F46" s="53"/>
      <c r="G46" s="54"/>
      <c r="H46" s="56"/>
      <c r="I46" s="56"/>
    </row>
    <row r="47" spans="1:9" ht="13.2">
      <c r="B47" s="49"/>
      <c r="C47" s="57"/>
      <c r="D47" s="58"/>
      <c r="E47" s="2" t="s">
        <v>2</v>
      </c>
      <c r="F47" s="3"/>
      <c r="G47" s="31"/>
      <c r="H47" s="36"/>
      <c r="I47" s="11"/>
    </row>
    <row r="48" spans="1:9" ht="12">
      <c r="B48" s="49" t="s">
        <v>66</v>
      </c>
      <c r="C48" s="60" t="s">
        <v>37</v>
      </c>
      <c r="D48" s="61"/>
      <c r="E48" s="62" t="s">
        <v>64</v>
      </c>
      <c r="F48" s="63" t="s">
        <v>12</v>
      </c>
      <c r="G48" s="64" t="s">
        <v>12</v>
      </c>
      <c r="H48" s="109" t="s">
        <v>12</v>
      </c>
      <c r="I48" s="66" t="s">
        <v>12</v>
      </c>
    </row>
    <row r="49" spans="2:9" ht="13.2">
      <c r="B49" s="25" t="s">
        <v>67</v>
      </c>
      <c r="C49" s="67"/>
      <c r="D49" s="68"/>
      <c r="E49" s="69" t="s">
        <v>35</v>
      </c>
      <c r="F49" s="70" t="s">
        <v>15</v>
      </c>
      <c r="G49" s="71">
        <f>333*1.2</f>
        <v>399.6</v>
      </c>
      <c r="H49" s="72">
        <v>0</v>
      </c>
      <c r="I49" s="73">
        <f>ROUND($G49*H49,2)</f>
        <v>0</v>
      </c>
    </row>
    <row r="50" spans="2:9" ht="13.2">
      <c r="B50" s="25" t="s">
        <v>68</v>
      </c>
      <c r="C50" s="74"/>
      <c r="D50" s="75"/>
      <c r="E50" s="69" t="s">
        <v>60</v>
      </c>
      <c r="F50" s="70" t="s">
        <v>14</v>
      </c>
      <c r="G50" s="71">
        <v>625</v>
      </c>
      <c r="H50" s="72">
        <v>0</v>
      </c>
      <c r="I50" s="73">
        <f t="shared" ref="I50:I53" si="5">ROUND($G50*H50,2)</f>
        <v>0</v>
      </c>
    </row>
    <row r="51" spans="2:9" ht="13.2">
      <c r="B51" s="25" t="s">
        <v>69</v>
      </c>
      <c r="C51" s="110"/>
      <c r="D51" s="110"/>
      <c r="E51" s="77" t="s">
        <v>90</v>
      </c>
      <c r="F51" s="70" t="s">
        <v>91</v>
      </c>
      <c r="G51" s="71">
        <v>35</v>
      </c>
      <c r="H51" s="72">
        <v>0</v>
      </c>
      <c r="I51" s="73">
        <f t="shared" si="5"/>
        <v>0</v>
      </c>
    </row>
    <row r="52" spans="2:9" ht="13.2">
      <c r="B52" s="25" t="s">
        <v>70</v>
      </c>
      <c r="C52" s="110"/>
      <c r="D52" s="110"/>
      <c r="E52" s="77" t="s">
        <v>92</v>
      </c>
      <c r="F52" s="70" t="s">
        <v>93</v>
      </c>
      <c r="G52" s="71">
        <v>4</v>
      </c>
      <c r="H52" s="72">
        <v>0</v>
      </c>
      <c r="I52" s="73">
        <f t="shared" si="5"/>
        <v>0</v>
      </c>
    </row>
    <row r="53" spans="2:9" ht="22.8">
      <c r="B53" s="25" t="s">
        <v>94</v>
      </c>
      <c r="C53" s="76"/>
      <c r="D53" s="76"/>
      <c r="E53" s="77" t="s">
        <v>62</v>
      </c>
      <c r="F53" s="70" t="s">
        <v>5</v>
      </c>
      <c r="G53" s="71">
        <v>66.8</v>
      </c>
      <c r="H53" s="72"/>
      <c r="I53" s="73">
        <f t="shared" si="5"/>
        <v>0</v>
      </c>
    </row>
    <row r="54" spans="2:9" ht="13.2">
      <c r="B54" s="78"/>
      <c r="C54" s="79"/>
      <c r="D54" s="80"/>
      <c r="E54" s="81" t="s">
        <v>16</v>
      </c>
      <c r="F54" s="82" t="s">
        <v>34</v>
      </c>
      <c r="G54" s="15"/>
      <c r="H54" s="111"/>
      <c r="I54" s="23" t="s">
        <v>12</v>
      </c>
    </row>
    <row r="55" spans="2:9" ht="13.2">
      <c r="B55" s="49" t="s">
        <v>71</v>
      </c>
      <c r="C55" s="50" t="s">
        <v>38</v>
      </c>
      <c r="D55" s="51"/>
      <c r="E55" s="52" t="s">
        <v>17</v>
      </c>
      <c r="F55" s="53"/>
      <c r="G55" s="84"/>
      <c r="H55" s="112"/>
      <c r="I55" s="56"/>
    </row>
    <row r="56" spans="2:9" ht="24">
      <c r="B56" s="49"/>
      <c r="C56" s="57"/>
      <c r="D56" s="58"/>
      <c r="E56" s="85" t="s">
        <v>63</v>
      </c>
      <c r="F56" s="3"/>
      <c r="G56" s="10"/>
      <c r="H56" s="28"/>
      <c r="I56" s="24"/>
    </row>
    <row r="57" spans="2:9" ht="13.2">
      <c r="B57" s="49" t="s">
        <v>72</v>
      </c>
      <c r="C57" s="87" t="s">
        <v>39</v>
      </c>
      <c r="D57" s="88"/>
      <c r="E57" s="89" t="s">
        <v>18</v>
      </c>
      <c r="F57" s="90" t="s">
        <v>12</v>
      </c>
      <c r="G57" s="91" t="s">
        <v>12</v>
      </c>
      <c r="H57" s="92"/>
      <c r="I57" s="93" t="s">
        <v>12</v>
      </c>
    </row>
    <row r="58" spans="2:9" ht="45.6">
      <c r="B58" s="25" t="s">
        <v>73</v>
      </c>
      <c r="C58" s="94"/>
      <c r="D58" s="95"/>
      <c r="E58" s="96" t="s">
        <v>19</v>
      </c>
      <c r="F58" s="90" t="s">
        <v>20</v>
      </c>
      <c r="G58" s="71">
        <v>5785</v>
      </c>
      <c r="H58" s="72">
        <v>0</v>
      </c>
      <c r="I58" s="73">
        <f>ROUND($G58*H58,2)</f>
        <v>0</v>
      </c>
    </row>
    <row r="59" spans="2:9" ht="13.2">
      <c r="B59" s="49" t="s">
        <v>74</v>
      </c>
      <c r="C59" s="87" t="s">
        <v>40</v>
      </c>
      <c r="D59" s="88"/>
      <c r="E59" s="97" t="s">
        <v>22</v>
      </c>
      <c r="F59" s="90" t="s">
        <v>12</v>
      </c>
      <c r="G59" s="91" t="s">
        <v>12</v>
      </c>
      <c r="H59" s="92"/>
      <c r="I59" s="93" t="s">
        <v>12</v>
      </c>
    </row>
    <row r="60" spans="2:9" ht="34.200000000000003">
      <c r="B60" s="25" t="s">
        <v>75</v>
      </c>
      <c r="C60" s="98"/>
      <c r="D60" s="99"/>
      <c r="E60" s="100" t="s">
        <v>32</v>
      </c>
      <c r="F60" s="90" t="s">
        <v>20</v>
      </c>
      <c r="G60" s="71">
        <v>435</v>
      </c>
      <c r="H60" s="72">
        <v>0</v>
      </c>
      <c r="I60" s="73">
        <f t="shared" ref="I60:I64" si="6">ROUND($G60*H60,2)</f>
        <v>0</v>
      </c>
    </row>
    <row r="61" spans="2:9" ht="34.200000000000003">
      <c r="B61" s="25" t="s">
        <v>76</v>
      </c>
      <c r="C61" s="101"/>
      <c r="D61" s="102"/>
      <c r="E61" s="100" t="s">
        <v>24</v>
      </c>
      <c r="F61" s="90" t="s">
        <v>20</v>
      </c>
      <c r="G61" s="71">
        <v>3280</v>
      </c>
      <c r="H61" s="72">
        <v>0</v>
      </c>
      <c r="I61" s="73">
        <f t="shared" si="6"/>
        <v>0</v>
      </c>
    </row>
    <row r="62" spans="2:9" ht="22.8">
      <c r="B62" s="25" t="s">
        <v>77</v>
      </c>
      <c r="C62" s="101"/>
      <c r="D62" s="102"/>
      <c r="E62" s="100" t="s">
        <v>33</v>
      </c>
      <c r="F62" s="90" t="s">
        <v>20</v>
      </c>
      <c r="G62" s="71">
        <v>690</v>
      </c>
      <c r="H62" s="72">
        <v>0</v>
      </c>
      <c r="I62" s="73">
        <f t="shared" si="6"/>
        <v>0</v>
      </c>
    </row>
    <row r="63" spans="2:9" ht="22.8">
      <c r="B63" s="25" t="s">
        <v>95</v>
      </c>
      <c r="C63" s="113"/>
      <c r="D63" s="113"/>
      <c r="E63" s="103" t="s">
        <v>96</v>
      </c>
      <c r="F63" s="90" t="s">
        <v>20</v>
      </c>
      <c r="G63" s="71">
        <v>525</v>
      </c>
      <c r="H63" s="72">
        <v>0</v>
      </c>
      <c r="I63" s="73">
        <f t="shared" si="6"/>
        <v>0</v>
      </c>
    </row>
    <row r="64" spans="2:9" ht="22.8">
      <c r="B64" s="25" t="s">
        <v>78</v>
      </c>
      <c r="C64" s="94"/>
      <c r="D64" s="94"/>
      <c r="E64" s="103" t="s">
        <v>239</v>
      </c>
      <c r="F64" s="90" t="s">
        <v>15</v>
      </c>
      <c r="G64" s="71">
        <v>570</v>
      </c>
      <c r="H64" s="72">
        <v>0</v>
      </c>
      <c r="I64" s="73">
        <f t="shared" si="6"/>
        <v>0</v>
      </c>
    </row>
    <row r="65" spans="2:9" ht="13.8">
      <c r="B65" s="49"/>
      <c r="C65" s="344" t="s">
        <v>97</v>
      </c>
      <c r="D65" s="344"/>
      <c r="E65" s="344"/>
      <c r="F65" s="105"/>
      <c r="G65" s="106"/>
      <c r="H65" s="29"/>
      <c r="I65" s="114">
        <f>SUM(I49:I64)</f>
        <v>0</v>
      </c>
    </row>
    <row r="66" spans="2:9" ht="26.4">
      <c r="B66" s="41" t="s">
        <v>41</v>
      </c>
      <c r="C66" s="352" t="s">
        <v>98</v>
      </c>
      <c r="D66" s="353"/>
      <c r="E66" s="354"/>
      <c r="F66" s="354"/>
      <c r="G66" s="354"/>
      <c r="H66" s="354"/>
      <c r="I66" s="355"/>
    </row>
    <row r="67" spans="2:9" ht="26.4">
      <c r="B67" s="42" t="s">
        <v>83</v>
      </c>
      <c r="C67" s="340" t="s">
        <v>99</v>
      </c>
      <c r="D67" s="341"/>
      <c r="E67" s="342"/>
      <c r="F67" s="342"/>
      <c r="G67" s="342"/>
      <c r="H67" s="342"/>
      <c r="I67" s="343"/>
    </row>
    <row r="68" spans="2:9" ht="24">
      <c r="B68" s="43" t="s">
        <v>0</v>
      </c>
      <c r="C68" s="44" t="s">
        <v>45</v>
      </c>
      <c r="D68" s="44" t="s">
        <v>82</v>
      </c>
      <c r="E68" s="115" t="s">
        <v>42</v>
      </c>
      <c r="F68" s="45" t="s">
        <v>43</v>
      </c>
      <c r="G68" s="45" t="s">
        <v>1</v>
      </c>
      <c r="H68" s="46" t="s">
        <v>29</v>
      </c>
      <c r="I68" s="47" t="s">
        <v>30</v>
      </c>
    </row>
    <row r="69" spans="2:9" ht="13.2">
      <c r="B69" s="49" t="s">
        <v>65</v>
      </c>
      <c r="C69" s="50" t="s">
        <v>36</v>
      </c>
      <c r="D69" s="51"/>
      <c r="E69" s="52" t="s">
        <v>13</v>
      </c>
      <c r="F69" s="53"/>
      <c r="G69" s="54"/>
      <c r="H69" s="56"/>
      <c r="I69" s="56"/>
    </row>
    <row r="70" spans="2:9" ht="13.2">
      <c r="B70" s="49"/>
      <c r="C70" s="57"/>
      <c r="D70" s="58"/>
      <c r="E70" s="2" t="s">
        <v>2</v>
      </c>
      <c r="F70" s="3"/>
      <c r="G70" s="14"/>
      <c r="H70" s="36"/>
      <c r="I70" s="11"/>
    </row>
    <row r="71" spans="2:9" ht="12">
      <c r="B71" s="49" t="s">
        <v>66</v>
      </c>
      <c r="C71" s="60" t="s">
        <v>37</v>
      </c>
      <c r="D71" s="61"/>
      <c r="E71" s="62" t="s">
        <v>64</v>
      </c>
      <c r="F71" s="63" t="s">
        <v>12</v>
      </c>
      <c r="G71" s="64" t="s">
        <v>12</v>
      </c>
      <c r="H71" s="109" t="s">
        <v>12</v>
      </c>
      <c r="I71" s="66" t="s">
        <v>12</v>
      </c>
    </row>
    <row r="72" spans="2:9" ht="13.2">
      <c r="B72" s="25" t="s">
        <v>67</v>
      </c>
      <c r="C72" s="67"/>
      <c r="D72" s="68"/>
      <c r="E72" s="69" t="s">
        <v>35</v>
      </c>
      <c r="F72" s="70" t="s">
        <v>15</v>
      </c>
      <c r="G72" s="71">
        <f>85*1.2</f>
        <v>102</v>
      </c>
      <c r="H72" s="72">
        <v>0</v>
      </c>
      <c r="I72" s="73">
        <f>ROUND($G72*H72,2)</f>
        <v>0</v>
      </c>
    </row>
    <row r="73" spans="2:9" ht="13.2">
      <c r="B73" s="25" t="s">
        <v>68</v>
      </c>
      <c r="C73" s="74"/>
      <c r="D73" s="75"/>
      <c r="E73" s="69" t="s">
        <v>60</v>
      </c>
      <c r="F73" s="70" t="s">
        <v>14</v>
      </c>
      <c r="G73" s="71">
        <v>400</v>
      </c>
      <c r="H73" s="72">
        <v>0</v>
      </c>
      <c r="I73" s="73">
        <f>ROUND($G73*H73,2)</f>
        <v>0</v>
      </c>
    </row>
    <row r="74" spans="2:9" ht="13.2">
      <c r="B74" s="25" t="s">
        <v>69</v>
      </c>
      <c r="C74" s="74"/>
      <c r="D74" s="75"/>
      <c r="E74" s="69" t="s">
        <v>61</v>
      </c>
      <c r="F74" s="70" t="s">
        <v>14</v>
      </c>
      <c r="G74" s="71">
        <v>43.5</v>
      </c>
      <c r="H74" s="72">
        <v>0</v>
      </c>
      <c r="I74" s="73">
        <f>ROUND($G74*H74,2)</f>
        <v>0</v>
      </c>
    </row>
    <row r="75" spans="2:9" ht="22.8">
      <c r="B75" s="25" t="s">
        <v>70</v>
      </c>
      <c r="C75" s="76"/>
      <c r="D75" s="76"/>
      <c r="E75" s="77" t="s">
        <v>62</v>
      </c>
      <c r="F75" s="70" t="s">
        <v>5</v>
      </c>
      <c r="G75" s="71">
        <v>31.3</v>
      </c>
      <c r="H75" s="72">
        <v>0</v>
      </c>
      <c r="I75" s="73">
        <f>ROUND($G75*H75,2)</f>
        <v>0</v>
      </c>
    </row>
    <row r="76" spans="2:9" ht="13.2">
      <c r="B76" s="78"/>
      <c r="C76" s="79"/>
      <c r="D76" s="80"/>
      <c r="E76" s="81" t="s">
        <v>16</v>
      </c>
      <c r="F76" s="82" t="s">
        <v>34</v>
      </c>
      <c r="G76" s="15"/>
      <c r="H76" s="116"/>
      <c r="I76" s="117" t="s">
        <v>12</v>
      </c>
    </row>
    <row r="77" spans="2:9" ht="13.2">
      <c r="B77" s="49" t="s">
        <v>71</v>
      </c>
      <c r="C77" s="50" t="s">
        <v>38</v>
      </c>
      <c r="D77" s="51"/>
      <c r="E77" s="52" t="s">
        <v>17</v>
      </c>
      <c r="F77" s="53"/>
      <c r="G77" s="84"/>
      <c r="H77" s="112"/>
      <c r="I77" s="56"/>
    </row>
    <row r="78" spans="2:9" ht="24">
      <c r="B78" s="49"/>
      <c r="C78" s="57"/>
      <c r="D78" s="58"/>
      <c r="E78" s="85" t="s">
        <v>63</v>
      </c>
      <c r="F78" s="3"/>
      <c r="G78" s="10"/>
      <c r="H78" s="28"/>
      <c r="I78" s="24"/>
    </row>
    <row r="79" spans="2:9" ht="13.2">
      <c r="B79" s="49" t="s">
        <v>72</v>
      </c>
      <c r="C79" s="87" t="s">
        <v>39</v>
      </c>
      <c r="D79" s="88"/>
      <c r="E79" s="89" t="s">
        <v>18</v>
      </c>
      <c r="F79" s="90" t="s">
        <v>12</v>
      </c>
      <c r="G79" s="91" t="s">
        <v>12</v>
      </c>
      <c r="H79" s="92"/>
      <c r="I79" s="93" t="s">
        <v>12</v>
      </c>
    </row>
    <row r="80" spans="2:9" ht="45.6">
      <c r="B80" s="25" t="s">
        <v>73</v>
      </c>
      <c r="C80" s="94"/>
      <c r="D80" s="95"/>
      <c r="E80" s="96" t="s">
        <v>19</v>
      </c>
      <c r="F80" s="90" t="s">
        <v>20</v>
      </c>
      <c r="G80" s="71">
        <f>183.44*14.5-38.54*7.8</f>
        <v>2359.27</v>
      </c>
      <c r="H80" s="72">
        <f>H58</f>
        <v>0</v>
      </c>
      <c r="I80" s="73">
        <f>ROUND($G80*H80,2)</f>
        <v>0</v>
      </c>
    </row>
    <row r="81" spans="2:9" ht="13.2">
      <c r="B81" s="49" t="s">
        <v>74</v>
      </c>
      <c r="C81" s="87" t="s">
        <v>40</v>
      </c>
      <c r="D81" s="88"/>
      <c r="E81" s="97" t="s">
        <v>22</v>
      </c>
      <c r="F81" s="90" t="s">
        <v>12</v>
      </c>
      <c r="G81" s="91" t="s">
        <v>12</v>
      </c>
      <c r="H81" s="92"/>
      <c r="I81" s="93" t="s">
        <v>12</v>
      </c>
    </row>
    <row r="82" spans="2:9" ht="34.200000000000003">
      <c r="B82" s="25" t="s">
        <v>75</v>
      </c>
      <c r="C82" s="98"/>
      <c r="D82" s="99"/>
      <c r="E82" s="100" t="s">
        <v>32</v>
      </c>
      <c r="F82" s="90" t="s">
        <v>20</v>
      </c>
      <c r="G82" s="71">
        <f>47.35*14</f>
        <v>662.9</v>
      </c>
      <c r="H82" s="72">
        <f>H62</f>
        <v>0</v>
      </c>
      <c r="I82" s="73">
        <f>ROUND($G82*H82,2)</f>
        <v>0</v>
      </c>
    </row>
    <row r="83" spans="2:9" ht="34.200000000000003">
      <c r="B83" s="25" t="s">
        <v>76</v>
      </c>
      <c r="C83" s="101"/>
      <c r="D83" s="102"/>
      <c r="E83" s="100" t="s">
        <v>24</v>
      </c>
      <c r="F83" s="90" t="s">
        <v>20</v>
      </c>
      <c r="G83" s="71">
        <f>55.5*14</f>
        <v>777</v>
      </c>
      <c r="H83" s="72">
        <f>H82</f>
        <v>0</v>
      </c>
      <c r="I83" s="73">
        <f>ROUND($G83*H83,2)</f>
        <v>0</v>
      </c>
    </row>
    <row r="84" spans="2:9" ht="22.8">
      <c r="B84" s="25" t="s">
        <v>77</v>
      </c>
      <c r="C84" s="101"/>
      <c r="D84" s="102"/>
      <c r="E84" s="100" t="s">
        <v>33</v>
      </c>
      <c r="F84" s="90" t="s">
        <v>20</v>
      </c>
      <c r="G84" s="71">
        <f>0.5*4.5*6.6*9.2+0.5*4.9*7.4*9+0.5*4.25*6.4*5.1+0.5*3*4.6*4.5+1/3*3.14*1.35*(1+1*3.9+3.9*3.9)/3+0.5*1.3*3.5*3.5</f>
        <v>417.63</v>
      </c>
      <c r="H84" s="72">
        <f>H83</f>
        <v>0</v>
      </c>
      <c r="I84" s="73">
        <f>ROUND($G84*H84,2)</f>
        <v>0</v>
      </c>
    </row>
    <row r="85" spans="2:9" ht="13.2">
      <c r="B85" s="49" t="s">
        <v>100</v>
      </c>
      <c r="C85" s="87" t="s">
        <v>101</v>
      </c>
      <c r="D85" s="87"/>
      <c r="E85" s="118" t="s">
        <v>102</v>
      </c>
      <c r="F85" s="90" t="s">
        <v>12</v>
      </c>
      <c r="G85" s="91" t="s">
        <v>12</v>
      </c>
      <c r="H85" s="92"/>
      <c r="I85" s="93" t="s">
        <v>12</v>
      </c>
    </row>
    <row r="86" spans="2:9" ht="22.8">
      <c r="B86" s="25" t="s">
        <v>78</v>
      </c>
      <c r="C86" s="94"/>
      <c r="D86" s="94"/>
      <c r="E86" s="103" t="s">
        <v>239</v>
      </c>
      <c r="F86" s="90" t="s">
        <v>15</v>
      </c>
      <c r="G86" s="71">
        <f>(4.25+3.5*2)*15.75*2</f>
        <v>354.38</v>
      </c>
      <c r="H86" s="72">
        <f>H64</f>
        <v>0</v>
      </c>
      <c r="I86" s="73">
        <f>ROUND($G86*H86,2)</f>
        <v>0</v>
      </c>
    </row>
    <row r="87" spans="2:9" ht="13.2">
      <c r="B87" s="78"/>
      <c r="C87" s="119"/>
      <c r="D87" s="120"/>
      <c r="E87" s="121" t="s">
        <v>103</v>
      </c>
      <c r="F87" s="82"/>
      <c r="G87" s="122"/>
      <c r="H87" s="123" t="s">
        <v>12</v>
      </c>
      <c r="I87" s="124" t="s">
        <v>12</v>
      </c>
    </row>
    <row r="88" spans="2:9" ht="13.8">
      <c r="B88" s="49"/>
      <c r="C88" s="344" t="s">
        <v>97</v>
      </c>
      <c r="D88" s="344"/>
      <c r="E88" s="344"/>
      <c r="F88" s="105"/>
      <c r="G88" s="125"/>
      <c r="H88" s="29" t="s">
        <v>12</v>
      </c>
      <c r="I88" s="108">
        <f>SUM(I72:I86)</f>
        <v>0</v>
      </c>
    </row>
    <row r="89" spans="2:9" ht="26.4">
      <c r="B89" s="41" t="s">
        <v>41</v>
      </c>
      <c r="C89" s="356" t="s">
        <v>44</v>
      </c>
      <c r="D89" s="357"/>
      <c r="E89" s="357"/>
      <c r="F89" s="357"/>
      <c r="G89" s="357"/>
      <c r="H89" s="357"/>
      <c r="I89" s="358"/>
    </row>
    <row r="90" spans="2:9" ht="26.4">
      <c r="B90" s="42" t="s">
        <v>83</v>
      </c>
      <c r="C90" s="340" t="s">
        <v>104</v>
      </c>
      <c r="D90" s="341"/>
      <c r="E90" s="342"/>
      <c r="F90" s="342"/>
      <c r="G90" s="342"/>
      <c r="H90" s="342"/>
      <c r="I90" s="343"/>
    </row>
    <row r="91" spans="2:9" ht="24">
      <c r="B91" s="43" t="s">
        <v>0</v>
      </c>
      <c r="C91" s="44" t="s">
        <v>45</v>
      </c>
      <c r="D91" s="44" t="s">
        <v>82</v>
      </c>
      <c r="E91" s="115" t="s">
        <v>42</v>
      </c>
      <c r="F91" s="126" t="s">
        <v>43</v>
      </c>
      <c r="G91" s="45" t="s">
        <v>1</v>
      </c>
      <c r="H91" s="46" t="s">
        <v>29</v>
      </c>
      <c r="I91" s="47" t="s">
        <v>30</v>
      </c>
    </row>
    <row r="92" spans="2:9" ht="13.2">
      <c r="B92" s="49" t="s">
        <v>65</v>
      </c>
      <c r="C92" s="50" t="s">
        <v>36</v>
      </c>
      <c r="D92" s="51"/>
      <c r="E92" s="52" t="s">
        <v>13</v>
      </c>
      <c r="F92" s="53"/>
      <c r="G92" s="54"/>
      <c r="H92" s="55"/>
      <c r="I92" s="56"/>
    </row>
    <row r="93" spans="2:9" ht="13.2">
      <c r="B93" s="49"/>
      <c r="C93" s="57"/>
      <c r="D93" s="58"/>
      <c r="E93" s="2" t="s">
        <v>2</v>
      </c>
      <c r="F93" s="3"/>
      <c r="G93" s="14"/>
      <c r="H93" s="59"/>
      <c r="I93" s="11"/>
    </row>
    <row r="94" spans="2:9" ht="12">
      <c r="B94" s="49" t="s">
        <v>66</v>
      </c>
      <c r="C94" s="60" t="s">
        <v>37</v>
      </c>
      <c r="D94" s="61"/>
      <c r="E94" s="62" t="s">
        <v>64</v>
      </c>
      <c r="F94" s="63" t="s">
        <v>12</v>
      </c>
      <c r="G94" s="64" t="s">
        <v>12</v>
      </c>
      <c r="H94" s="109" t="s">
        <v>12</v>
      </c>
      <c r="I94" s="66" t="s">
        <v>12</v>
      </c>
    </row>
    <row r="95" spans="2:9" ht="13.2">
      <c r="B95" s="25" t="s">
        <v>67</v>
      </c>
      <c r="C95" s="67"/>
      <c r="D95" s="68"/>
      <c r="E95" s="69" t="s">
        <v>35</v>
      </c>
      <c r="F95" s="70" t="s">
        <v>15</v>
      </c>
      <c r="G95" s="71">
        <v>183</v>
      </c>
      <c r="H95" s="72">
        <f>H72</f>
        <v>0</v>
      </c>
      <c r="I95" s="73">
        <f>ROUND($G95*H95,2)</f>
        <v>0</v>
      </c>
    </row>
    <row r="96" spans="2:9" ht="13.2">
      <c r="B96" s="25" t="s">
        <v>68</v>
      </c>
      <c r="C96" s="74"/>
      <c r="D96" s="75"/>
      <c r="E96" s="69" t="s">
        <v>60</v>
      </c>
      <c r="F96" s="70" t="s">
        <v>14</v>
      </c>
      <c r="G96" s="71">
        <v>63.5</v>
      </c>
      <c r="H96" s="72">
        <f>H73</f>
        <v>0</v>
      </c>
      <c r="I96" s="73">
        <f>ROUND($G96*H96,2)</f>
        <v>0</v>
      </c>
    </row>
    <row r="97" spans="2:9" ht="13.2">
      <c r="B97" s="25" t="s">
        <v>69</v>
      </c>
      <c r="C97" s="74"/>
      <c r="D97" s="75"/>
      <c r="E97" s="69" t="s">
        <v>61</v>
      </c>
      <c r="F97" s="70" t="s">
        <v>14</v>
      </c>
      <c r="G97" s="71">
        <v>41.5</v>
      </c>
      <c r="H97" s="72">
        <f>H96</f>
        <v>0</v>
      </c>
      <c r="I97" s="73">
        <f>ROUND($G97*H97,2)</f>
        <v>0</v>
      </c>
    </row>
    <row r="98" spans="2:9" ht="22.8">
      <c r="B98" s="25" t="s">
        <v>70</v>
      </c>
      <c r="C98" s="110"/>
      <c r="D98" s="110"/>
      <c r="E98" s="77" t="s">
        <v>62</v>
      </c>
      <c r="F98" s="70" t="s">
        <v>5</v>
      </c>
      <c r="G98" s="71">
        <v>20.3</v>
      </c>
      <c r="H98" s="72">
        <f>H75</f>
        <v>0</v>
      </c>
      <c r="I98" s="73">
        <f>ROUND($G98*H98,2)</f>
        <v>0</v>
      </c>
    </row>
    <row r="99" spans="2:9" ht="13.2">
      <c r="B99" s="25" t="s">
        <v>94</v>
      </c>
      <c r="C99" s="76"/>
      <c r="D99" s="76"/>
      <c r="E99" s="77" t="s">
        <v>105</v>
      </c>
      <c r="F99" s="70" t="s">
        <v>5</v>
      </c>
      <c r="G99" s="71">
        <v>4</v>
      </c>
      <c r="H99" s="72">
        <f>'odcinek C'!H13</f>
        <v>0</v>
      </c>
      <c r="I99" s="73">
        <f>ROUND($G99*H99,2)</f>
        <v>0</v>
      </c>
    </row>
    <row r="100" spans="2:9" ht="13.2">
      <c r="B100" s="78"/>
      <c r="C100" s="79"/>
      <c r="D100" s="80"/>
      <c r="E100" s="81" t="s">
        <v>16</v>
      </c>
      <c r="F100" s="82" t="s">
        <v>34</v>
      </c>
      <c r="G100" s="15"/>
      <c r="H100" s="116"/>
      <c r="I100" s="117" t="s">
        <v>12</v>
      </c>
    </row>
    <row r="101" spans="2:9" ht="13.2">
      <c r="B101" s="49" t="s">
        <v>71</v>
      </c>
      <c r="C101" s="50" t="s">
        <v>38</v>
      </c>
      <c r="D101" s="51"/>
      <c r="E101" s="52" t="s">
        <v>17</v>
      </c>
      <c r="F101" s="53"/>
      <c r="G101" s="84"/>
      <c r="H101" s="112"/>
      <c r="I101" s="56"/>
    </row>
    <row r="102" spans="2:9" ht="24">
      <c r="B102" s="49"/>
      <c r="C102" s="57"/>
      <c r="D102" s="58"/>
      <c r="E102" s="85" t="s">
        <v>63</v>
      </c>
      <c r="F102" s="3"/>
      <c r="G102" s="10"/>
      <c r="H102" s="30"/>
      <c r="I102" s="24"/>
    </row>
    <row r="103" spans="2:9" ht="13.2">
      <c r="B103" s="49" t="s">
        <v>72</v>
      </c>
      <c r="C103" s="87" t="s">
        <v>39</v>
      </c>
      <c r="D103" s="88"/>
      <c r="E103" s="89" t="s">
        <v>18</v>
      </c>
      <c r="F103" s="90" t="s">
        <v>12</v>
      </c>
      <c r="G103" s="91" t="s">
        <v>12</v>
      </c>
      <c r="H103" s="92"/>
      <c r="I103" s="93" t="s">
        <v>12</v>
      </c>
    </row>
    <row r="104" spans="2:9" ht="45.6">
      <c r="B104" s="25" t="s">
        <v>73</v>
      </c>
      <c r="C104" s="94"/>
      <c r="D104" s="95"/>
      <c r="E104" s="96" t="s">
        <v>19</v>
      </c>
      <c r="F104" s="90" t="s">
        <v>20</v>
      </c>
      <c r="G104" s="71">
        <f>143.4*15</f>
        <v>2151</v>
      </c>
      <c r="H104" s="72">
        <f>H80</f>
        <v>0</v>
      </c>
      <c r="I104" s="73">
        <f>ROUND($G104*H104,2)</f>
        <v>0</v>
      </c>
    </row>
    <row r="105" spans="2:9" ht="13.2">
      <c r="B105" s="49" t="s">
        <v>74</v>
      </c>
      <c r="C105" s="87" t="s">
        <v>40</v>
      </c>
      <c r="D105" s="88"/>
      <c r="E105" s="97" t="s">
        <v>22</v>
      </c>
      <c r="F105" s="90" t="s">
        <v>12</v>
      </c>
      <c r="G105" s="91" t="s">
        <v>12</v>
      </c>
      <c r="H105" s="92"/>
      <c r="I105" s="93" t="s">
        <v>12</v>
      </c>
    </row>
    <row r="106" spans="2:9" ht="34.200000000000003">
      <c r="B106" s="25" t="s">
        <v>75</v>
      </c>
      <c r="C106" s="98"/>
      <c r="D106" s="99"/>
      <c r="E106" s="100" t="s">
        <v>106</v>
      </c>
      <c r="F106" s="90" t="s">
        <v>20</v>
      </c>
      <c r="G106" s="71">
        <f>18.3*15</f>
        <v>274.5</v>
      </c>
      <c r="H106" s="72">
        <f>H107</f>
        <v>0</v>
      </c>
      <c r="I106" s="73">
        <f t="shared" ref="I106:I109" si="7">ROUND($G106*H106,2)</f>
        <v>0</v>
      </c>
    </row>
    <row r="107" spans="2:9" ht="34.200000000000003">
      <c r="B107" s="25" t="s">
        <v>76</v>
      </c>
      <c r="C107" s="101"/>
      <c r="D107" s="102"/>
      <c r="E107" s="100" t="s">
        <v>24</v>
      </c>
      <c r="F107" s="90" t="s">
        <v>20</v>
      </c>
      <c r="G107" s="71">
        <f>24.4*7.8+23.4*15</f>
        <v>541.32000000000005</v>
      </c>
      <c r="H107" s="72">
        <f>H83</f>
        <v>0</v>
      </c>
      <c r="I107" s="73">
        <f t="shared" si="7"/>
        <v>0</v>
      </c>
    </row>
    <row r="108" spans="2:9" ht="22.8">
      <c r="B108" s="25" t="s">
        <v>77</v>
      </c>
      <c r="C108" s="101"/>
      <c r="D108" s="102"/>
      <c r="E108" s="100" t="s">
        <v>33</v>
      </c>
      <c r="F108" s="90" t="s">
        <v>20</v>
      </c>
      <c r="G108" s="71">
        <f>1/3*3.14*1.65*(0.5*0.5+0.5*2.98+2.98*2.98)/4*2+1/3*3.14*1.77*(0.5*0.5+0.5*3.15+3.15*3.15)/4*2+0.5*5.4*8.1*5.1+0.5*3.7*5.7*5.4+0.5*5.4*9.1*5+0.5*4.4*6.6*5.1</f>
        <v>385.43</v>
      </c>
      <c r="H108" s="72">
        <f>H107</f>
        <v>0</v>
      </c>
      <c r="I108" s="73">
        <f t="shared" si="7"/>
        <v>0</v>
      </c>
    </row>
    <row r="109" spans="2:9" ht="22.8">
      <c r="B109" s="25" t="s">
        <v>78</v>
      </c>
      <c r="C109" s="94"/>
      <c r="D109" s="94"/>
      <c r="E109" s="103" t="s">
        <v>239</v>
      </c>
      <c r="F109" s="90" t="s">
        <v>15</v>
      </c>
      <c r="G109" s="71">
        <f>(4.25+2*3.5)*17.5*2</f>
        <v>393.75</v>
      </c>
      <c r="H109" s="72">
        <f>H86</f>
        <v>0</v>
      </c>
      <c r="I109" s="73">
        <f t="shared" si="7"/>
        <v>0</v>
      </c>
    </row>
    <row r="110" spans="2:9" ht="13.8">
      <c r="B110" s="49"/>
      <c r="C110" s="344" t="s">
        <v>97</v>
      </c>
      <c r="D110" s="344"/>
      <c r="E110" s="344"/>
      <c r="F110" s="105"/>
      <c r="G110" s="106"/>
      <c r="H110" s="29" t="s">
        <v>12</v>
      </c>
      <c r="I110" s="108">
        <f>SUM(I95:I109)</f>
        <v>0</v>
      </c>
    </row>
    <row r="111" spans="2:9" ht="26.4">
      <c r="B111" s="41" t="s">
        <v>41</v>
      </c>
      <c r="C111" s="345" t="s">
        <v>88</v>
      </c>
      <c r="D111" s="346"/>
      <c r="E111" s="350"/>
      <c r="F111" s="350"/>
      <c r="G111" s="350"/>
      <c r="H111" s="350"/>
      <c r="I111" s="351"/>
    </row>
    <row r="112" spans="2:9" ht="26.4">
      <c r="B112" s="127" t="s">
        <v>83</v>
      </c>
      <c r="C112" s="340" t="s">
        <v>107</v>
      </c>
      <c r="D112" s="341"/>
      <c r="E112" s="342"/>
      <c r="F112" s="342"/>
      <c r="G112" s="342"/>
      <c r="H112" s="342"/>
      <c r="I112" s="343"/>
    </row>
    <row r="113" spans="2:9" ht="24">
      <c r="B113" s="43" t="s">
        <v>0</v>
      </c>
      <c r="C113" s="44" t="s">
        <v>45</v>
      </c>
      <c r="D113" s="128" t="s">
        <v>82</v>
      </c>
      <c r="E113" s="115" t="s">
        <v>42</v>
      </c>
      <c r="F113" s="126" t="s">
        <v>43</v>
      </c>
      <c r="G113" s="45" t="s">
        <v>1</v>
      </c>
      <c r="H113" s="46" t="s">
        <v>29</v>
      </c>
      <c r="I113" s="47" t="s">
        <v>30</v>
      </c>
    </row>
    <row r="114" spans="2:9" ht="13.2">
      <c r="B114" s="49" t="s">
        <v>65</v>
      </c>
      <c r="C114" s="50" t="s">
        <v>36</v>
      </c>
      <c r="D114" s="51"/>
      <c r="E114" s="52" t="s">
        <v>13</v>
      </c>
      <c r="F114" s="53"/>
      <c r="G114" s="54"/>
      <c r="H114" s="55"/>
      <c r="I114" s="56"/>
    </row>
    <row r="115" spans="2:9" ht="13.2">
      <c r="B115" s="49"/>
      <c r="C115" s="57"/>
      <c r="D115" s="58"/>
      <c r="E115" s="2" t="s">
        <v>2</v>
      </c>
      <c r="F115" s="3"/>
      <c r="G115" s="14"/>
      <c r="H115" s="59"/>
      <c r="I115" s="11"/>
    </row>
    <row r="116" spans="2:9" ht="12">
      <c r="B116" s="49" t="s">
        <v>66</v>
      </c>
      <c r="C116" s="60" t="s">
        <v>37</v>
      </c>
      <c r="D116" s="61"/>
      <c r="E116" s="62" t="s">
        <v>64</v>
      </c>
      <c r="F116" s="63" t="s">
        <v>12</v>
      </c>
      <c r="G116" s="64" t="s">
        <v>12</v>
      </c>
      <c r="H116" s="109" t="s">
        <v>12</v>
      </c>
      <c r="I116" s="66" t="s">
        <v>12</v>
      </c>
    </row>
    <row r="117" spans="2:9" ht="13.2">
      <c r="B117" s="25" t="s">
        <v>67</v>
      </c>
      <c r="C117" s="67"/>
      <c r="D117" s="68"/>
      <c r="E117" s="69" t="s">
        <v>35</v>
      </c>
      <c r="F117" s="70" t="s">
        <v>15</v>
      </c>
      <c r="G117" s="71">
        <f>135*1.2</f>
        <v>162</v>
      </c>
      <c r="H117" s="72">
        <f>H95</f>
        <v>0</v>
      </c>
      <c r="I117" s="73">
        <f>ROUND($G117*H117,2)</f>
        <v>0</v>
      </c>
    </row>
    <row r="118" spans="2:9" ht="13.2">
      <c r="B118" s="25" t="s">
        <v>68</v>
      </c>
      <c r="C118" s="74"/>
      <c r="D118" s="75"/>
      <c r="E118" s="69" t="s">
        <v>60</v>
      </c>
      <c r="F118" s="70" t="s">
        <v>14</v>
      </c>
      <c r="G118" s="71">
        <v>385</v>
      </c>
      <c r="H118" s="72">
        <f>H117</f>
        <v>0</v>
      </c>
      <c r="I118" s="73">
        <f>ROUND($G118*H118,2)</f>
        <v>0</v>
      </c>
    </row>
    <row r="119" spans="2:9" ht="13.2">
      <c r="B119" s="25" t="s">
        <v>69</v>
      </c>
      <c r="C119" s="74"/>
      <c r="D119" s="75"/>
      <c r="E119" s="69" t="s">
        <v>61</v>
      </c>
      <c r="F119" s="70" t="s">
        <v>14</v>
      </c>
      <c r="G119" s="71">
        <v>43.5</v>
      </c>
      <c r="H119" s="72">
        <f>H97</f>
        <v>0</v>
      </c>
      <c r="I119" s="73">
        <f>ROUND($G119*H119,2)</f>
        <v>0</v>
      </c>
    </row>
    <row r="120" spans="2:9" ht="22.8">
      <c r="B120" s="25" t="s">
        <v>70</v>
      </c>
      <c r="C120" s="110"/>
      <c r="D120" s="110"/>
      <c r="E120" s="77" t="s">
        <v>62</v>
      </c>
      <c r="F120" s="70" t="s">
        <v>5</v>
      </c>
      <c r="G120" s="71">
        <v>31.3</v>
      </c>
      <c r="H120" s="72">
        <f>H119</f>
        <v>0</v>
      </c>
      <c r="I120" s="73">
        <f>ROUND($G120*H120,2)</f>
        <v>0</v>
      </c>
    </row>
    <row r="121" spans="2:9" ht="13.2">
      <c r="B121" s="25" t="s">
        <v>94</v>
      </c>
      <c r="C121" s="76"/>
      <c r="D121" s="76"/>
      <c r="E121" s="77" t="s">
        <v>105</v>
      </c>
      <c r="F121" s="70" t="s">
        <v>5</v>
      </c>
      <c r="G121" s="71">
        <v>4.2</v>
      </c>
      <c r="H121" s="72">
        <f>H117</f>
        <v>0</v>
      </c>
      <c r="I121" s="73">
        <f>ROUND($G121*H121,2)</f>
        <v>0</v>
      </c>
    </row>
    <row r="122" spans="2:9" ht="13.2">
      <c r="B122" s="78"/>
      <c r="C122" s="79"/>
      <c r="D122" s="80"/>
      <c r="E122" s="81" t="s">
        <v>16</v>
      </c>
      <c r="F122" s="82" t="s">
        <v>34</v>
      </c>
      <c r="G122" s="129"/>
      <c r="H122" s="116"/>
      <c r="I122" s="117" t="s">
        <v>12</v>
      </c>
    </row>
    <row r="123" spans="2:9" ht="13.2">
      <c r="B123" s="49" t="s">
        <v>71</v>
      </c>
      <c r="C123" s="50" t="s">
        <v>38</v>
      </c>
      <c r="D123" s="51"/>
      <c r="E123" s="52" t="s">
        <v>17</v>
      </c>
      <c r="F123" s="53"/>
      <c r="G123" s="130"/>
      <c r="H123" s="112"/>
      <c r="I123" s="56"/>
    </row>
    <row r="124" spans="2:9" ht="24">
      <c r="B124" s="49"/>
      <c r="C124" s="57"/>
      <c r="D124" s="58"/>
      <c r="E124" s="85" t="s">
        <v>63</v>
      </c>
      <c r="F124" s="3"/>
      <c r="G124" s="131"/>
      <c r="H124" s="30"/>
      <c r="I124" s="24"/>
    </row>
    <row r="125" spans="2:9" ht="13.2">
      <c r="B125" s="49" t="s">
        <v>72</v>
      </c>
      <c r="C125" s="87" t="s">
        <v>39</v>
      </c>
      <c r="D125" s="88"/>
      <c r="E125" s="89" t="s">
        <v>18</v>
      </c>
      <c r="F125" s="90" t="s">
        <v>12</v>
      </c>
      <c r="G125" s="91" t="s">
        <v>12</v>
      </c>
      <c r="H125" s="92"/>
      <c r="I125" s="93" t="s">
        <v>12</v>
      </c>
    </row>
    <row r="126" spans="2:9" ht="45.6">
      <c r="B126" s="25" t="s">
        <v>73</v>
      </c>
      <c r="C126" s="94"/>
      <c r="D126" s="95"/>
      <c r="E126" s="96" t="s">
        <v>19</v>
      </c>
      <c r="F126" s="90" t="s">
        <v>20</v>
      </c>
      <c r="G126" s="71">
        <f>171.3*15-21.8*2*8</f>
        <v>2220.6999999999998</v>
      </c>
      <c r="H126" s="72">
        <f>H104</f>
        <v>0</v>
      </c>
      <c r="I126" s="73">
        <f>ROUND($G126*H126,2)</f>
        <v>0</v>
      </c>
    </row>
    <row r="127" spans="2:9" ht="13.2">
      <c r="B127" s="49" t="s">
        <v>74</v>
      </c>
      <c r="C127" s="87" t="s">
        <v>40</v>
      </c>
      <c r="D127" s="88"/>
      <c r="E127" s="97" t="s">
        <v>22</v>
      </c>
      <c r="F127" s="90" t="s">
        <v>12</v>
      </c>
      <c r="G127" s="91" t="s">
        <v>12</v>
      </c>
      <c r="H127" s="92"/>
      <c r="I127" s="93" t="s">
        <v>12</v>
      </c>
    </row>
    <row r="128" spans="2:9" ht="34.200000000000003">
      <c r="B128" s="25" t="s">
        <v>75</v>
      </c>
      <c r="C128" s="98"/>
      <c r="D128" s="99"/>
      <c r="E128" s="100" t="s">
        <v>32</v>
      </c>
      <c r="F128" s="90" t="s">
        <v>20</v>
      </c>
      <c r="G128" s="71">
        <f>40.5*15</f>
        <v>607.5</v>
      </c>
      <c r="H128" s="72">
        <f>H106</f>
        <v>0</v>
      </c>
      <c r="I128" s="73">
        <f>ROUND($G128*H128,2)</f>
        <v>0</v>
      </c>
    </row>
    <row r="129" spans="2:9" ht="34.200000000000003">
      <c r="B129" s="25" t="s">
        <v>76</v>
      </c>
      <c r="C129" s="101"/>
      <c r="D129" s="102"/>
      <c r="E129" s="100" t="s">
        <v>24</v>
      </c>
      <c r="F129" s="90" t="s">
        <v>20</v>
      </c>
      <c r="G129" s="71">
        <f>54.1*15</f>
        <v>811.5</v>
      </c>
      <c r="H129" s="72">
        <f>H128</f>
        <v>0</v>
      </c>
      <c r="I129" s="73">
        <f>ROUND($G129*H129,2)</f>
        <v>0</v>
      </c>
    </row>
    <row r="130" spans="2:9" ht="22.8">
      <c r="B130" s="25" t="s">
        <v>77</v>
      </c>
      <c r="C130" s="101"/>
      <c r="D130" s="102"/>
      <c r="E130" s="100" t="s">
        <v>33</v>
      </c>
      <c r="F130" s="90" t="s">
        <v>20</v>
      </c>
      <c r="G130" s="71">
        <f>1/3*3.14*3.75*(1*1+1*6.65+6.65*6.65)/4+0.5*3.75*5.63*1.8+0.5*2.8*4.2*1.7+0.5*2.8*3.8*3.8+1/3*3.14*4.1*(0.75*0.75+0.75*6.9+6.9*6.9)/2.7+0.5*0.2*8.2+0.5*2*3*6.1</f>
        <v>204.02</v>
      </c>
      <c r="H130" s="72">
        <f>H129</f>
        <v>0</v>
      </c>
      <c r="I130" s="73">
        <f>ROUND($G130*H130,2)</f>
        <v>0</v>
      </c>
    </row>
    <row r="131" spans="2:9" ht="22.8">
      <c r="B131" s="25" t="s">
        <v>78</v>
      </c>
      <c r="C131" s="94"/>
      <c r="D131" s="94"/>
      <c r="E131" s="103" t="s">
        <v>239</v>
      </c>
      <c r="F131" s="90" t="s">
        <v>15</v>
      </c>
      <c r="G131" s="71">
        <f>(4.26+2*3.5)*15.7*2</f>
        <v>353.56</v>
      </c>
      <c r="H131" s="72">
        <f>H109</f>
        <v>0</v>
      </c>
      <c r="I131" s="73">
        <f>ROUND($G131*H131,2)</f>
        <v>0</v>
      </c>
    </row>
    <row r="132" spans="2:9" ht="13.8">
      <c r="B132" s="49"/>
      <c r="C132" s="344" t="s">
        <v>97</v>
      </c>
      <c r="D132" s="344"/>
      <c r="E132" s="344"/>
      <c r="F132" s="105"/>
      <c r="G132" s="132"/>
      <c r="H132" s="29" t="s">
        <v>12</v>
      </c>
      <c r="I132" s="108">
        <f>SUM(I117:I131)</f>
        <v>0</v>
      </c>
    </row>
    <row r="133" spans="2:9" ht="26.4">
      <c r="B133" s="127" t="s">
        <v>83</v>
      </c>
      <c r="C133" s="340" t="s">
        <v>108</v>
      </c>
      <c r="D133" s="341"/>
      <c r="E133" s="342"/>
      <c r="F133" s="342"/>
      <c r="G133" s="342"/>
      <c r="H133" s="342"/>
      <c r="I133" s="343"/>
    </row>
    <row r="134" spans="2:9" ht="24">
      <c r="B134" s="43" t="s">
        <v>0</v>
      </c>
      <c r="C134" s="44" t="s">
        <v>45</v>
      </c>
      <c r="D134" s="128" t="s">
        <v>82</v>
      </c>
      <c r="E134" s="115" t="s">
        <v>42</v>
      </c>
      <c r="F134" s="126" t="s">
        <v>43</v>
      </c>
      <c r="G134" s="45" t="s">
        <v>1</v>
      </c>
      <c r="H134" s="46" t="s">
        <v>29</v>
      </c>
      <c r="I134" s="47" t="s">
        <v>30</v>
      </c>
    </row>
    <row r="135" spans="2:9" ht="13.2">
      <c r="B135" s="49" t="s">
        <v>109</v>
      </c>
      <c r="C135" s="50" t="s">
        <v>110</v>
      </c>
      <c r="D135" s="51"/>
      <c r="E135" s="52" t="s">
        <v>111</v>
      </c>
      <c r="F135" s="53"/>
      <c r="G135" s="84">
        <v>0</v>
      </c>
      <c r="H135" s="133"/>
      <c r="I135" s="133"/>
    </row>
    <row r="136" spans="2:9" ht="13.2">
      <c r="B136" s="49" t="s">
        <v>65</v>
      </c>
      <c r="C136" s="50" t="s">
        <v>36</v>
      </c>
      <c r="D136" s="51"/>
      <c r="E136" s="52" t="s">
        <v>13</v>
      </c>
      <c r="F136" s="53"/>
      <c r="G136" s="54"/>
      <c r="H136" s="55"/>
      <c r="I136" s="56"/>
    </row>
    <row r="137" spans="2:9" ht="13.2">
      <c r="B137" s="49"/>
      <c r="C137" s="57"/>
      <c r="D137" s="58"/>
      <c r="E137" s="2" t="s">
        <v>2</v>
      </c>
      <c r="F137" s="3"/>
      <c r="G137" s="14"/>
      <c r="H137" s="59"/>
      <c r="I137" s="11"/>
    </row>
    <row r="138" spans="2:9" ht="12">
      <c r="B138" s="49" t="s">
        <v>66</v>
      </c>
      <c r="C138" s="60" t="s">
        <v>37</v>
      </c>
      <c r="D138" s="61"/>
      <c r="E138" s="62" t="s">
        <v>64</v>
      </c>
      <c r="F138" s="63" t="s">
        <v>12</v>
      </c>
      <c r="G138" s="64" t="s">
        <v>12</v>
      </c>
      <c r="H138" s="109" t="s">
        <v>12</v>
      </c>
      <c r="I138" s="66" t="s">
        <v>12</v>
      </c>
    </row>
    <row r="139" spans="2:9" ht="13.2">
      <c r="B139" s="25" t="s">
        <v>67</v>
      </c>
      <c r="C139" s="67"/>
      <c r="D139" s="68"/>
      <c r="E139" s="69" t="s">
        <v>35</v>
      </c>
      <c r="F139" s="70" t="s">
        <v>15</v>
      </c>
      <c r="G139" s="71">
        <v>205</v>
      </c>
      <c r="H139" s="72">
        <f>H117</f>
        <v>0</v>
      </c>
      <c r="I139" s="73">
        <f>ROUND($G139*H139,2)</f>
        <v>0</v>
      </c>
    </row>
    <row r="140" spans="2:9" ht="13.2">
      <c r="B140" s="25" t="s">
        <v>68</v>
      </c>
      <c r="C140" s="74"/>
      <c r="D140" s="75"/>
      <c r="E140" s="69" t="s">
        <v>60</v>
      </c>
      <c r="F140" s="70" t="s">
        <v>14</v>
      </c>
      <c r="G140" s="71">
        <v>65</v>
      </c>
      <c r="H140" s="72">
        <f>H119</f>
        <v>0</v>
      </c>
      <c r="I140" s="73">
        <f t="shared" ref="I140:I142" si="8">ROUND($G140*H140,2)</f>
        <v>0</v>
      </c>
    </row>
    <row r="141" spans="2:9" ht="13.2">
      <c r="B141" s="25" t="s">
        <v>69</v>
      </c>
      <c r="C141" s="74"/>
      <c r="D141" s="75"/>
      <c r="E141" s="69" t="s">
        <v>61</v>
      </c>
      <c r="F141" s="70" t="s">
        <v>14</v>
      </c>
      <c r="G141" s="71">
        <v>26</v>
      </c>
      <c r="H141" s="72">
        <f>H140</f>
        <v>0</v>
      </c>
      <c r="I141" s="73">
        <f t="shared" si="8"/>
        <v>0</v>
      </c>
    </row>
    <row r="142" spans="2:9" ht="22.8">
      <c r="B142" s="25" t="s">
        <v>70</v>
      </c>
      <c r="C142" s="76"/>
      <c r="D142" s="76"/>
      <c r="E142" s="77" t="s">
        <v>62</v>
      </c>
      <c r="F142" s="70" t="s">
        <v>5</v>
      </c>
      <c r="G142" s="71">
        <v>32.700000000000003</v>
      </c>
      <c r="H142" s="72">
        <f>H139</f>
        <v>0</v>
      </c>
      <c r="I142" s="73">
        <f t="shared" si="8"/>
        <v>0</v>
      </c>
    </row>
    <row r="143" spans="2:9" ht="13.2">
      <c r="B143" s="78"/>
      <c r="C143" s="79"/>
      <c r="D143" s="80"/>
      <c r="E143" s="81" t="s">
        <v>16</v>
      </c>
      <c r="F143" s="82" t="s">
        <v>34</v>
      </c>
      <c r="G143" s="15"/>
      <c r="H143" s="116"/>
      <c r="I143" s="117" t="s">
        <v>12</v>
      </c>
    </row>
    <row r="144" spans="2:9" ht="13.2">
      <c r="B144" s="49" t="s">
        <v>71</v>
      </c>
      <c r="C144" s="50" t="s">
        <v>38</v>
      </c>
      <c r="D144" s="51"/>
      <c r="E144" s="52" t="s">
        <v>17</v>
      </c>
      <c r="F144" s="53"/>
      <c r="G144" s="84"/>
      <c r="H144" s="112"/>
      <c r="I144" s="56"/>
    </row>
    <row r="145" spans="2:9" ht="24">
      <c r="B145" s="49"/>
      <c r="C145" s="57"/>
      <c r="D145" s="58"/>
      <c r="E145" s="85" t="s">
        <v>63</v>
      </c>
      <c r="F145" s="3"/>
      <c r="G145" s="10"/>
      <c r="H145" s="30"/>
      <c r="I145" s="24"/>
    </row>
    <row r="146" spans="2:9" ht="13.2">
      <c r="B146" s="49" t="s">
        <v>72</v>
      </c>
      <c r="C146" s="87" t="s">
        <v>39</v>
      </c>
      <c r="D146" s="88"/>
      <c r="E146" s="89" t="s">
        <v>18</v>
      </c>
      <c r="F146" s="90" t="s">
        <v>12</v>
      </c>
      <c r="G146" s="91" t="s">
        <v>12</v>
      </c>
      <c r="H146" s="92"/>
      <c r="I146" s="93" t="s">
        <v>12</v>
      </c>
    </row>
    <row r="147" spans="2:9" ht="45.6">
      <c r="B147" s="25" t="s">
        <v>73</v>
      </c>
      <c r="C147" s="94"/>
      <c r="D147" s="95"/>
      <c r="E147" s="96" t="s">
        <v>19</v>
      </c>
      <c r="F147" s="90" t="s">
        <v>20</v>
      </c>
      <c r="G147" s="71">
        <f>143.4*13.5</f>
        <v>1935.9</v>
      </c>
      <c r="H147" s="72">
        <f>H126</f>
        <v>0</v>
      </c>
      <c r="I147" s="73">
        <f>ROUND($G147*H147,2)</f>
        <v>0</v>
      </c>
    </row>
    <row r="148" spans="2:9" ht="13.2">
      <c r="B148" s="49" t="s">
        <v>74</v>
      </c>
      <c r="C148" s="87" t="s">
        <v>40</v>
      </c>
      <c r="D148" s="88"/>
      <c r="E148" s="97" t="s">
        <v>22</v>
      </c>
      <c r="F148" s="90" t="s">
        <v>12</v>
      </c>
      <c r="G148" s="91" t="s">
        <v>12</v>
      </c>
      <c r="H148" s="92"/>
      <c r="I148" s="93" t="s">
        <v>12</v>
      </c>
    </row>
    <row r="149" spans="2:9" ht="34.200000000000003">
      <c r="B149" s="25" t="s">
        <v>75</v>
      </c>
      <c r="C149" s="98"/>
      <c r="D149" s="99"/>
      <c r="E149" s="100" t="s">
        <v>106</v>
      </c>
      <c r="F149" s="90" t="s">
        <v>20</v>
      </c>
      <c r="G149" s="71">
        <f>18.3*13.5</f>
        <v>247.05</v>
      </c>
      <c r="H149" s="72">
        <f>H128</f>
        <v>0</v>
      </c>
      <c r="I149" s="73">
        <f t="shared" ref="I149:I152" si="9">ROUND($G149*H149,2)</f>
        <v>0</v>
      </c>
    </row>
    <row r="150" spans="2:9" ht="34.200000000000003">
      <c r="B150" s="25" t="s">
        <v>76</v>
      </c>
      <c r="C150" s="101"/>
      <c r="D150" s="102"/>
      <c r="E150" s="100" t="s">
        <v>24</v>
      </c>
      <c r="F150" s="90" t="s">
        <v>20</v>
      </c>
      <c r="G150" s="71">
        <f>24.4*8+23.4*13.5</f>
        <v>511.1</v>
      </c>
      <c r="H150" s="72">
        <f>H149</f>
        <v>0</v>
      </c>
      <c r="I150" s="73">
        <f t="shared" si="9"/>
        <v>0</v>
      </c>
    </row>
    <row r="151" spans="2:9" ht="22.8">
      <c r="B151" s="25" t="s">
        <v>77</v>
      </c>
      <c r="C151" s="101"/>
      <c r="D151" s="102"/>
      <c r="E151" s="100" t="s">
        <v>33</v>
      </c>
      <c r="F151" s="90" t="s">
        <v>20</v>
      </c>
      <c r="G151" s="71">
        <f>1/3*3.14*1.7*(0.5*0.5+0.5*3.05+3.05*3.05)/4+0.5*4.4*6.65*4+0.5*2.75*4.1*1.4+1/3*3.14*1.7*(0.5*0.5+0.5*3.05+3.05*3.05)/4+0.5*3.65*5.45*4.3+0.5*2.05*3.1*1.7+1/3*3.14*1.8*(0.5*0.5+0.5*3.16+3.16*3.16)/4+0.5*1.8*2.65*5.5+0.5*1.2*1.2*7+1/3*3.14*1.7*(0.5*0.5+0.5*3.05+3.05*3.05)/4+0.5*2.5*3.75*5.3+0.5*1.6*2.55+0.5*3.2*4.8*5.6</f>
        <v>222.98</v>
      </c>
      <c r="H151" s="72">
        <f>H129</f>
        <v>0</v>
      </c>
      <c r="I151" s="73">
        <f t="shared" si="9"/>
        <v>0</v>
      </c>
    </row>
    <row r="152" spans="2:9" ht="22.8">
      <c r="B152" s="25" t="s">
        <v>78</v>
      </c>
      <c r="C152" s="94"/>
      <c r="D152" s="94"/>
      <c r="E152" s="103" t="s">
        <v>239</v>
      </c>
      <c r="F152" s="90" t="s">
        <v>15</v>
      </c>
      <c r="G152" s="71">
        <f>(4.25+2*3.5)*17.5*2</f>
        <v>393.75</v>
      </c>
      <c r="H152" s="72">
        <f>H131</f>
        <v>0</v>
      </c>
      <c r="I152" s="73">
        <f t="shared" si="9"/>
        <v>0</v>
      </c>
    </row>
    <row r="153" spans="2:9" ht="13.8">
      <c r="B153" s="49"/>
      <c r="C153" s="359" t="s">
        <v>81</v>
      </c>
      <c r="D153" s="360"/>
      <c r="E153" s="361"/>
      <c r="F153" s="105"/>
      <c r="G153" s="125"/>
      <c r="H153" s="29" t="s">
        <v>12</v>
      </c>
      <c r="I153" s="108">
        <f>SUM(I139:I152)</f>
        <v>0</v>
      </c>
    </row>
    <row r="154" spans="2:9" ht="26.4">
      <c r="B154" s="41" t="s">
        <v>41</v>
      </c>
      <c r="C154" s="345" t="s">
        <v>88</v>
      </c>
      <c r="D154" s="346"/>
      <c r="E154" s="350"/>
      <c r="F154" s="350"/>
      <c r="G154" s="350"/>
      <c r="H154" s="350"/>
      <c r="I154" s="351"/>
    </row>
    <row r="155" spans="2:9" ht="26.4">
      <c r="B155" s="127" t="s">
        <v>83</v>
      </c>
      <c r="C155" s="340" t="s">
        <v>112</v>
      </c>
      <c r="D155" s="341"/>
      <c r="E155" s="342"/>
      <c r="F155" s="342"/>
      <c r="G155" s="342"/>
      <c r="H155" s="342"/>
      <c r="I155" s="343"/>
    </row>
    <row r="156" spans="2:9" ht="24">
      <c r="B156" s="43" t="s">
        <v>0</v>
      </c>
      <c r="C156" s="44" t="s">
        <v>45</v>
      </c>
      <c r="D156" s="128" t="s">
        <v>82</v>
      </c>
      <c r="E156" s="115" t="s">
        <v>42</v>
      </c>
      <c r="F156" s="126" t="s">
        <v>43</v>
      </c>
      <c r="G156" s="45" t="s">
        <v>1</v>
      </c>
      <c r="H156" s="46" t="s">
        <v>29</v>
      </c>
      <c r="I156" s="47" t="s">
        <v>30</v>
      </c>
    </row>
    <row r="157" spans="2:9" ht="13.2">
      <c r="B157" s="49" t="s">
        <v>65</v>
      </c>
      <c r="C157" s="50" t="s">
        <v>36</v>
      </c>
      <c r="D157" s="51"/>
      <c r="E157" s="52" t="s">
        <v>13</v>
      </c>
      <c r="F157" s="53"/>
      <c r="G157" s="54"/>
      <c r="H157" s="55"/>
      <c r="I157" s="56"/>
    </row>
    <row r="158" spans="2:9" ht="13.2">
      <c r="B158" s="49"/>
      <c r="C158" s="57"/>
      <c r="D158" s="58"/>
      <c r="E158" s="2" t="s">
        <v>2</v>
      </c>
      <c r="F158" s="3"/>
      <c r="G158" s="31"/>
      <c r="H158" s="59"/>
      <c r="I158" s="11"/>
    </row>
    <row r="159" spans="2:9" ht="12">
      <c r="B159" s="49" t="s">
        <v>66</v>
      </c>
      <c r="C159" s="60" t="s">
        <v>37</v>
      </c>
      <c r="D159" s="61"/>
      <c r="E159" s="62" t="s">
        <v>64</v>
      </c>
      <c r="F159" s="63" t="s">
        <v>12</v>
      </c>
      <c r="G159" s="64" t="s">
        <v>12</v>
      </c>
      <c r="H159" s="109" t="s">
        <v>12</v>
      </c>
      <c r="I159" s="66" t="s">
        <v>12</v>
      </c>
    </row>
    <row r="160" spans="2:9" ht="13.2">
      <c r="B160" s="25" t="s">
        <v>67</v>
      </c>
      <c r="C160" s="67"/>
      <c r="D160" s="68"/>
      <c r="E160" s="69" t="s">
        <v>35</v>
      </c>
      <c r="F160" s="70" t="s">
        <v>15</v>
      </c>
      <c r="G160" s="71">
        <v>166</v>
      </c>
      <c r="H160" s="72">
        <f>H139</f>
        <v>0</v>
      </c>
      <c r="I160" s="73">
        <f>ROUND($G160*H160,2)</f>
        <v>0</v>
      </c>
    </row>
    <row r="161" spans="2:9" ht="13.2">
      <c r="B161" s="25" t="s">
        <v>68</v>
      </c>
      <c r="C161" s="74"/>
      <c r="D161" s="75"/>
      <c r="E161" s="69" t="s">
        <v>60</v>
      </c>
      <c r="F161" s="70" t="s">
        <v>14</v>
      </c>
      <c r="G161" s="71">
        <v>395</v>
      </c>
      <c r="H161" s="72">
        <f>H140</f>
        <v>0</v>
      </c>
      <c r="I161" s="73">
        <f>ROUND($G161*H161,2)</f>
        <v>0</v>
      </c>
    </row>
    <row r="162" spans="2:9" ht="13.2">
      <c r="B162" s="25" t="s">
        <v>69</v>
      </c>
      <c r="C162" s="74"/>
      <c r="D162" s="75"/>
      <c r="E162" s="69" t="s">
        <v>61</v>
      </c>
      <c r="F162" s="70" t="s">
        <v>14</v>
      </c>
      <c r="G162" s="71">
        <v>18</v>
      </c>
      <c r="H162" s="72">
        <f>H161</f>
        <v>0</v>
      </c>
      <c r="I162" s="73">
        <f>ROUND($G162*H162,2)</f>
        <v>0</v>
      </c>
    </row>
    <row r="163" spans="2:9" ht="22.8">
      <c r="B163" s="25" t="s">
        <v>70</v>
      </c>
      <c r="C163" s="76"/>
      <c r="D163" s="76"/>
      <c r="E163" s="77" t="s">
        <v>62</v>
      </c>
      <c r="F163" s="70" t="s">
        <v>5</v>
      </c>
      <c r="G163" s="71">
        <v>43.7</v>
      </c>
      <c r="H163" s="72">
        <f>H160</f>
        <v>0</v>
      </c>
      <c r="I163" s="73">
        <f>ROUND($G163*H163,2)</f>
        <v>0</v>
      </c>
    </row>
    <row r="164" spans="2:9" ht="13.2">
      <c r="B164" s="78"/>
      <c r="C164" s="79"/>
      <c r="D164" s="80"/>
      <c r="E164" s="81" t="s">
        <v>16</v>
      </c>
      <c r="F164" s="82" t="s">
        <v>34</v>
      </c>
      <c r="G164" s="15"/>
      <c r="H164" s="116"/>
      <c r="I164" s="117" t="s">
        <v>12</v>
      </c>
    </row>
    <row r="165" spans="2:9" ht="13.2">
      <c r="B165" s="49" t="s">
        <v>71</v>
      </c>
      <c r="C165" s="50" t="s">
        <v>38</v>
      </c>
      <c r="D165" s="51"/>
      <c r="E165" s="52" t="s">
        <v>17</v>
      </c>
      <c r="F165" s="53"/>
      <c r="G165" s="84"/>
      <c r="H165" s="112"/>
      <c r="I165" s="56"/>
    </row>
    <row r="166" spans="2:9" ht="24">
      <c r="B166" s="49"/>
      <c r="C166" s="57"/>
      <c r="D166" s="58"/>
      <c r="E166" s="85" t="s">
        <v>63</v>
      </c>
      <c r="F166" s="3"/>
      <c r="G166" s="10"/>
      <c r="H166" s="30"/>
      <c r="I166" s="24"/>
    </row>
    <row r="167" spans="2:9" ht="13.2">
      <c r="B167" s="49" t="s">
        <v>72</v>
      </c>
      <c r="C167" s="87" t="s">
        <v>39</v>
      </c>
      <c r="D167" s="88"/>
      <c r="E167" s="89" t="s">
        <v>18</v>
      </c>
      <c r="F167" s="90" t="s">
        <v>12</v>
      </c>
      <c r="G167" s="91" t="s">
        <v>12</v>
      </c>
      <c r="H167" s="92"/>
      <c r="I167" s="93" t="s">
        <v>12</v>
      </c>
    </row>
    <row r="168" spans="2:9" ht="45.6">
      <c r="B168" s="25" t="s">
        <v>73</v>
      </c>
      <c r="C168" s="94"/>
      <c r="D168" s="95"/>
      <c r="E168" s="96" t="s">
        <v>19</v>
      </c>
      <c r="F168" s="90" t="s">
        <v>20</v>
      </c>
      <c r="G168" s="71">
        <f>(214.1-30.7)*14.5-53*8.5</f>
        <v>2208.8000000000002</v>
      </c>
      <c r="H168" s="72">
        <f>H147</f>
        <v>0</v>
      </c>
      <c r="I168" s="73">
        <f>ROUND($G168*H168,2)</f>
        <v>0</v>
      </c>
    </row>
    <row r="169" spans="2:9" ht="13.2">
      <c r="B169" s="49" t="s">
        <v>74</v>
      </c>
      <c r="C169" s="87" t="s">
        <v>40</v>
      </c>
      <c r="D169" s="88"/>
      <c r="E169" s="97" t="s">
        <v>22</v>
      </c>
      <c r="F169" s="90" t="s">
        <v>12</v>
      </c>
      <c r="G169" s="91" t="s">
        <v>12</v>
      </c>
      <c r="H169" s="92"/>
      <c r="I169" s="93" t="s">
        <v>12</v>
      </c>
    </row>
    <row r="170" spans="2:9" ht="34.200000000000003">
      <c r="B170" s="25" t="s">
        <v>75</v>
      </c>
      <c r="C170" s="98"/>
      <c r="D170" s="99"/>
      <c r="E170" s="100" t="s">
        <v>32</v>
      </c>
      <c r="F170" s="90" t="s">
        <v>20</v>
      </c>
      <c r="G170" s="71">
        <f>34.4*14</f>
        <v>481.6</v>
      </c>
      <c r="H170" s="72">
        <f>H150</f>
        <v>0</v>
      </c>
      <c r="I170" s="73">
        <f>ROUND($G170*H170,2)</f>
        <v>0</v>
      </c>
    </row>
    <row r="171" spans="2:9" ht="34.200000000000003">
      <c r="B171" s="25" t="s">
        <v>76</v>
      </c>
      <c r="C171" s="101"/>
      <c r="D171" s="102"/>
      <c r="E171" s="100" t="s">
        <v>24</v>
      </c>
      <c r="F171" s="90" t="s">
        <v>20</v>
      </c>
      <c r="G171" s="71">
        <f>52.8*14</f>
        <v>739.2</v>
      </c>
      <c r="H171" s="72">
        <f>H170</f>
        <v>0</v>
      </c>
      <c r="I171" s="73">
        <f>ROUND($G171*H171,2)</f>
        <v>0</v>
      </c>
    </row>
    <row r="172" spans="2:9" ht="22.8">
      <c r="B172" s="25" t="s">
        <v>77</v>
      </c>
      <c r="C172" s="101"/>
      <c r="D172" s="102"/>
      <c r="E172" s="100" t="s">
        <v>33</v>
      </c>
      <c r="F172" s="90" t="s">
        <v>20</v>
      </c>
      <c r="G172" s="71">
        <f>0.5*4.45*6.85*6.5+0.5*2.5*4*8+0.5*4.3*6.4*4.3+0.5*2.5*3.8*5</f>
        <v>221.99</v>
      </c>
      <c r="H172" s="72">
        <f>H171</f>
        <v>0</v>
      </c>
      <c r="I172" s="73">
        <f>ROUND($G172*H172,2)</f>
        <v>0</v>
      </c>
    </row>
    <row r="173" spans="2:9" ht="22.8">
      <c r="B173" s="25" t="s">
        <v>78</v>
      </c>
      <c r="C173" s="94"/>
      <c r="D173" s="94"/>
      <c r="E173" s="103" t="s">
        <v>239</v>
      </c>
      <c r="F173" s="90" t="s">
        <v>15</v>
      </c>
      <c r="G173" s="71">
        <f>(4.25+2*3.5)*16.75*2</f>
        <v>376.88</v>
      </c>
      <c r="H173" s="72">
        <f>H152</f>
        <v>0</v>
      </c>
      <c r="I173" s="73">
        <f>ROUND($G173*H173,2)</f>
        <v>0</v>
      </c>
    </row>
    <row r="174" spans="2:9" ht="13.8">
      <c r="B174" s="49"/>
      <c r="C174" s="344" t="s">
        <v>97</v>
      </c>
      <c r="D174" s="344"/>
      <c r="E174" s="344"/>
      <c r="F174" s="105"/>
      <c r="G174" s="125"/>
      <c r="H174" s="29" t="s">
        <v>12</v>
      </c>
      <c r="I174" s="108">
        <f>SUM(I160:I173)</f>
        <v>0</v>
      </c>
    </row>
    <row r="175" spans="2:9" ht="26.4">
      <c r="B175" s="41" t="s">
        <v>41</v>
      </c>
      <c r="C175" s="345" t="s">
        <v>88</v>
      </c>
      <c r="D175" s="346"/>
      <c r="E175" s="350"/>
      <c r="F175" s="350"/>
      <c r="G175" s="350"/>
      <c r="H175" s="350"/>
      <c r="I175" s="351"/>
    </row>
    <row r="176" spans="2:9" ht="26.4">
      <c r="B176" s="127" t="s">
        <v>83</v>
      </c>
      <c r="C176" s="340" t="s">
        <v>113</v>
      </c>
      <c r="D176" s="341"/>
      <c r="E176" s="342"/>
      <c r="F176" s="342"/>
      <c r="G176" s="342"/>
      <c r="H176" s="342"/>
      <c r="I176" s="343"/>
    </row>
    <row r="177" spans="2:9" ht="24">
      <c r="B177" s="43" t="s">
        <v>0</v>
      </c>
      <c r="C177" s="44" t="s">
        <v>45</v>
      </c>
      <c r="D177" s="128" t="s">
        <v>82</v>
      </c>
      <c r="E177" s="115" t="s">
        <v>42</v>
      </c>
      <c r="F177" s="126" t="s">
        <v>43</v>
      </c>
      <c r="G177" s="45" t="s">
        <v>1</v>
      </c>
      <c r="H177" s="46" t="s">
        <v>29</v>
      </c>
      <c r="I177" s="47" t="s">
        <v>30</v>
      </c>
    </row>
    <row r="178" spans="2:9" ht="13.2">
      <c r="B178" s="49" t="s">
        <v>65</v>
      </c>
      <c r="C178" s="50" t="s">
        <v>36</v>
      </c>
      <c r="D178" s="51"/>
      <c r="E178" s="52" t="s">
        <v>13</v>
      </c>
      <c r="F178" s="53"/>
      <c r="G178" s="54"/>
      <c r="H178" s="55"/>
      <c r="I178" s="56"/>
    </row>
    <row r="179" spans="2:9" ht="13.2">
      <c r="B179" s="49"/>
      <c r="C179" s="57"/>
      <c r="D179" s="58"/>
      <c r="E179" s="2" t="s">
        <v>2</v>
      </c>
      <c r="F179" s="3"/>
      <c r="G179" s="14"/>
      <c r="H179" s="59"/>
      <c r="I179" s="11"/>
    </row>
    <row r="180" spans="2:9" ht="12">
      <c r="B180" s="49" t="s">
        <v>66</v>
      </c>
      <c r="C180" s="60" t="s">
        <v>37</v>
      </c>
      <c r="D180" s="61"/>
      <c r="E180" s="62" t="s">
        <v>64</v>
      </c>
      <c r="F180" s="63" t="s">
        <v>12</v>
      </c>
      <c r="G180" s="64" t="s">
        <v>12</v>
      </c>
      <c r="H180" s="109" t="s">
        <v>12</v>
      </c>
      <c r="I180" s="66" t="s">
        <v>12</v>
      </c>
    </row>
    <row r="181" spans="2:9" ht="13.2">
      <c r="B181" s="25" t="s">
        <v>67</v>
      </c>
      <c r="C181" s="67"/>
      <c r="D181" s="68"/>
      <c r="E181" s="69" t="s">
        <v>35</v>
      </c>
      <c r="F181" s="70" t="s">
        <v>15</v>
      </c>
      <c r="G181" s="71">
        <f>214*1.2</f>
        <v>256.8</v>
      </c>
      <c r="H181" s="72">
        <f>H160</f>
        <v>0</v>
      </c>
      <c r="I181" s="73">
        <f t="shared" ref="I181:I187" si="10">ROUND($G181*H181,2)</f>
        <v>0</v>
      </c>
    </row>
    <row r="182" spans="2:9" ht="13.2">
      <c r="B182" s="25" t="s">
        <v>68</v>
      </c>
      <c r="C182" s="74"/>
      <c r="D182" s="75"/>
      <c r="E182" s="69" t="s">
        <v>60</v>
      </c>
      <c r="F182" s="70" t="s">
        <v>14</v>
      </c>
      <c r="G182" s="71">
        <v>598</v>
      </c>
      <c r="H182" s="72">
        <f>H161</f>
        <v>0</v>
      </c>
      <c r="I182" s="73">
        <f t="shared" si="10"/>
        <v>0</v>
      </c>
    </row>
    <row r="183" spans="2:9" ht="13.2">
      <c r="B183" s="25" t="s">
        <v>69</v>
      </c>
      <c r="C183" s="74"/>
      <c r="D183" s="75"/>
      <c r="E183" s="69" t="s">
        <v>61</v>
      </c>
      <c r="F183" s="70" t="s">
        <v>14</v>
      </c>
      <c r="G183" s="71">
        <v>33.299999999999997</v>
      </c>
      <c r="H183" s="72">
        <f>H182</f>
        <v>0</v>
      </c>
      <c r="I183" s="73">
        <f t="shared" si="10"/>
        <v>0</v>
      </c>
    </row>
    <row r="184" spans="2:9" ht="13.2">
      <c r="B184" s="25" t="s">
        <v>70</v>
      </c>
      <c r="C184" s="110"/>
      <c r="D184" s="110"/>
      <c r="E184" s="77" t="s">
        <v>90</v>
      </c>
      <c r="F184" s="70" t="s">
        <v>91</v>
      </c>
      <c r="G184" s="71">
        <v>11</v>
      </c>
      <c r="H184" s="72">
        <f>H51</f>
        <v>0</v>
      </c>
      <c r="I184" s="73">
        <f t="shared" si="10"/>
        <v>0</v>
      </c>
    </row>
    <row r="185" spans="2:9" ht="13.2">
      <c r="B185" s="25" t="s">
        <v>94</v>
      </c>
      <c r="C185" s="110"/>
      <c r="D185" s="110"/>
      <c r="E185" s="77" t="s">
        <v>92</v>
      </c>
      <c r="F185" s="70" t="s">
        <v>93</v>
      </c>
      <c r="G185" s="71">
        <v>4</v>
      </c>
      <c r="H185" s="72">
        <f>H52</f>
        <v>0</v>
      </c>
      <c r="I185" s="73">
        <f t="shared" si="10"/>
        <v>0</v>
      </c>
    </row>
    <row r="186" spans="2:9" ht="22.8">
      <c r="B186" s="25" t="s">
        <v>114</v>
      </c>
      <c r="C186" s="110"/>
      <c r="D186" s="110"/>
      <c r="E186" s="77" t="s">
        <v>62</v>
      </c>
      <c r="F186" s="70" t="s">
        <v>5</v>
      </c>
      <c r="G186" s="71">
        <v>54.4</v>
      </c>
      <c r="H186" s="72">
        <f>H181</f>
        <v>0</v>
      </c>
      <c r="I186" s="73">
        <f t="shared" si="10"/>
        <v>0</v>
      </c>
    </row>
    <row r="187" spans="2:9" ht="13.2">
      <c r="B187" s="25" t="s">
        <v>115</v>
      </c>
      <c r="C187" s="76"/>
      <c r="D187" s="76"/>
      <c r="E187" s="77" t="s">
        <v>116</v>
      </c>
      <c r="F187" s="70" t="s">
        <v>15</v>
      </c>
      <c r="G187" s="71">
        <v>105</v>
      </c>
      <c r="H187" s="72">
        <v>0</v>
      </c>
      <c r="I187" s="73">
        <f t="shared" si="10"/>
        <v>0</v>
      </c>
    </row>
    <row r="188" spans="2:9" ht="13.2">
      <c r="B188" s="134" t="s">
        <v>117</v>
      </c>
      <c r="C188" s="135" t="s">
        <v>118</v>
      </c>
      <c r="D188" s="135"/>
      <c r="E188" s="136" t="s">
        <v>119</v>
      </c>
      <c r="F188" s="137" t="s">
        <v>12</v>
      </c>
      <c r="G188" s="138" t="s">
        <v>12</v>
      </c>
      <c r="H188" s="139"/>
      <c r="I188" s="140" t="s">
        <v>12</v>
      </c>
    </row>
    <row r="189" spans="2:9" ht="22.8">
      <c r="B189" s="134" t="s">
        <v>120</v>
      </c>
      <c r="C189" s="135"/>
      <c r="D189" s="135"/>
      <c r="E189" s="136" t="s">
        <v>121</v>
      </c>
      <c r="F189" s="137" t="s">
        <v>5</v>
      </c>
      <c r="G189" s="141">
        <v>40</v>
      </c>
      <c r="H189" s="72">
        <v>0</v>
      </c>
      <c r="I189" s="73">
        <f>ROUND($G189*H189,2)</f>
        <v>0</v>
      </c>
    </row>
    <row r="190" spans="2:9" ht="13.2">
      <c r="B190" s="134" t="s">
        <v>122</v>
      </c>
      <c r="C190" s="135"/>
      <c r="D190" s="135"/>
      <c r="E190" s="136" t="s">
        <v>123</v>
      </c>
      <c r="F190" s="137" t="s">
        <v>124</v>
      </c>
      <c r="G190" s="141">
        <v>140</v>
      </c>
      <c r="H190" s="72">
        <v>0</v>
      </c>
      <c r="I190" s="73">
        <f>ROUND($G190*H190,2)</f>
        <v>0</v>
      </c>
    </row>
    <row r="191" spans="2:9" ht="13.2">
      <c r="B191" s="134" t="s">
        <v>125</v>
      </c>
      <c r="C191" s="135"/>
      <c r="D191" s="135"/>
      <c r="E191" s="136" t="s">
        <v>126</v>
      </c>
      <c r="F191" s="137" t="s">
        <v>124</v>
      </c>
      <c r="G191" s="141">
        <v>140</v>
      </c>
      <c r="H191" s="72">
        <v>0</v>
      </c>
      <c r="I191" s="73">
        <f>ROUND($G191*H191,2)</f>
        <v>0</v>
      </c>
    </row>
    <row r="192" spans="2:9" ht="13.2">
      <c r="B192" s="78"/>
      <c r="C192" s="79"/>
      <c r="D192" s="80"/>
      <c r="E192" s="81" t="s">
        <v>16</v>
      </c>
      <c r="F192" s="82" t="s">
        <v>34</v>
      </c>
      <c r="G192" s="32"/>
      <c r="H192" s="116"/>
      <c r="I192" s="117" t="s">
        <v>12</v>
      </c>
    </row>
    <row r="193" spans="2:9" ht="13.2">
      <c r="B193" s="49" t="s">
        <v>71</v>
      </c>
      <c r="C193" s="50" t="s">
        <v>38</v>
      </c>
      <c r="D193" s="51"/>
      <c r="E193" s="52" t="s">
        <v>17</v>
      </c>
      <c r="F193" s="53"/>
      <c r="G193" s="84"/>
      <c r="H193" s="112"/>
      <c r="I193" s="56"/>
    </row>
    <row r="194" spans="2:9" ht="24">
      <c r="B194" s="49"/>
      <c r="C194" s="57"/>
      <c r="D194" s="58"/>
      <c r="E194" s="85" t="s">
        <v>63</v>
      </c>
      <c r="F194" s="3"/>
      <c r="G194" s="10"/>
      <c r="H194" s="28"/>
      <c r="I194" s="24"/>
    </row>
    <row r="195" spans="2:9" ht="13.2">
      <c r="B195" s="49" t="s">
        <v>72</v>
      </c>
      <c r="C195" s="87" t="s">
        <v>39</v>
      </c>
      <c r="D195" s="88"/>
      <c r="E195" s="89" t="s">
        <v>18</v>
      </c>
      <c r="F195" s="90" t="s">
        <v>12</v>
      </c>
      <c r="G195" s="91" t="s">
        <v>12</v>
      </c>
      <c r="H195" s="92"/>
      <c r="I195" s="93" t="s">
        <v>12</v>
      </c>
    </row>
    <row r="196" spans="2:9" ht="45.6">
      <c r="B196" s="25" t="s">
        <v>73</v>
      </c>
      <c r="C196" s="94"/>
      <c r="D196" s="95"/>
      <c r="E196" s="96" t="s">
        <v>19</v>
      </c>
      <c r="F196" s="90" t="s">
        <v>20</v>
      </c>
      <c r="G196" s="71">
        <f>317.3*16</f>
        <v>5076.8</v>
      </c>
      <c r="H196" s="72">
        <f>H168</f>
        <v>0</v>
      </c>
      <c r="I196" s="73">
        <f>ROUND($G196*H196,2)</f>
        <v>0</v>
      </c>
    </row>
    <row r="197" spans="2:9" ht="13.2">
      <c r="B197" s="49" t="s">
        <v>74</v>
      </c>
      <c r="C197" s="87" t="s">
        <v>40</v>
      </c>
      <c r="D197" s="88"/>
      <c r="E197" s="97" t="s">
        <v>22</v>
      </c>
      <c r="F197" s="90" t="s">
        <v>12</v>
      </c>
      <c r="G197" s="91" t="s">
        <v>12</v>
      </c>
      <c r="H197" s="92"/>
      <c r="I197" s="93" t="s">
        <v>12</v>
      </c>
    </row>
    <row r="198" spans="2:9" ht="34.200000000000003">
      <c r="B198" s="25" t="s">
        <v>75</v>
      </c>
      <c r="C198" s="98"/>
      <c r="D198" s="99"/>
      <c r="E198" s="100" t="s">
        <v>32</v>
      </c>
      <c r="F198" s="90" t="s">
        <v>20</v>
      </c>
      <c r="G198" s="71">
        <v>495</v>
      </c>
      <c r="H198" s="72">
        <f>H196</f>
        <v>0</v>
      </c>
      <c r="I198" s="73">
        <f>ROUND($G198*H198,2)</f>
        <v>0</v>
      </c>
    </row>
    <row r="199" spans="2:9" ht="34.200000000000003">
      <c r="B199" s="25" t="s">
        <v>76</v>
      </c>
      <c r="C199" s="101"/>
      <c r="D199" s="102"/>
      <c r="E199" s="100" t="s">
        <v>24</v>
      </c>
      <c r="F199" s="90" t="s">
        <v>20</v>
      </c>
      <c r="G199" s="71">
        <v>2945</v>
      </c>
      <c r="H199" s="72">
        <f>H170</f>
        <v>0</v>
      </c>
      <c r="I199" s="73">
        <f>ROUND($G199*H199,2)</f>
        <v>0</v>
      </c>
    </row>
    <row r="200" spans="2:9" ht="22.8">
      <c r="B200" s="25" t="s">
        <v>77</v>
      </c>
      <c r="C200" s="101"/>
      <c r="D200" s="102"/>
      <c r="E200" s="100" t="s">
        <v>33</v>
      </c>
      <c r="F200" s="90" t="s">
        <v>20</v>
      </c>
      <c r="G200" s="71">
        <v>280</v>
      </c>
      <c r="H200" s="72">
        <f>H199</f>
        <v>0</v>
      </c>
      <c r="I200" s="73">
        <f>ROUND($G200*H200,2)</f>
        <v>0</v>
      </c>
    </row>
    <row r="201" spans="2:9" ht="22.8">
      <c r="B201" s="25" t="s">
        <v>95</v>
      </c>
      <c r="C201" s="113"/>
      <c r="D201" s="113"/>
      <c r="E201" s="103" t="s">
        <v>96</v>
      </c>
      <c r="F201" s="90" t="s">
        <v>20</v>
      </c>
      <c r="G201" s="71">
        <v>210</v>
      </c>
      <c r="H201" s="72">
        <f>H200</f>
        <v>0</v>
      </c>
      <c r="I201" s="73">
        <f>ROUND($G201*H201,2)</f>
        <v>0</v>
      </c>
    </row>
    <row r="202" spans="2:9" ht="22.8">
      <c r="B202" s="25" t="s">
        <v>78</v>
      </c>
      <c r="C202" s="94"/>
      <c r="D202" s="94"/>
      <c r="E202" s="103" t="s">
        <v>239</v>
      </c>
      <c r="F202" s="90" t="s">
        <v>15</v>
      </c>
      <c r="G202" s="71">
        <v>375</v>
      </c>
      <c r="H202" s="72">
        <f>H173</f>
        <v>0</v>
      </c>
      <c r="I202" s="73">
        <f>ROUND($G202*H202,2)</f>
        <v>0</v>
      </c>
    </row>
    <row r="203" spans="2:9" ht="13.8">
      <c r="B203" s="49"/>
      <c r="C203" s="359" t="s">
        <v>81</v>
      </c>
      <c r="D203" s="360"/>
      <c r="E203" s="361"/>
      <c r="F203" s="105"/>
      <c r="G203" s="142"/>
      <c r="H203" s="29"/>
      <c r="I203" s="143">
        <f>SUM(I181:I202)</f>
        <v>0</v>
      </c>
    </row>
    <row r="204" spans="2:9" ht="26.4">
      <c r="B204" s="41" t="s">
        <v>41</v>
      </c>
      <c r="C204" s="356" t="s">
        <v>44</v>
      </c>
      <c r="D204" s="357"/>
      <c r="E204" s="357"/>
      <c r="F204" s="357"/>
      <c r="G204" s="357"/>
      <c r="H204" s="357"/>
      <c r="I204" s="358"/>
    </row>
    <row r="205" spans="2:9" ht="26.4">
      <c r="B205" s="127" t="s">
        <v>83</v>
      </c>
      <c r="C205" s="340" t="s">
        <v>127</v>
      </c>
      <c r="D205" s="341"/>
      <c r="E205" s="342"/>
      <c r="F205" s="342"/>
      <c r="G205" s="342"/>
      <c r="H205" s="342"/>
      <c r="I205" s="343"/>
    </row>
    <row r="206" spans="2:9" ht="24">
      <c r="B206" s="43" t="s">
        <v>0</v>
      </c>
      <c r="C206" s="44" t="s">
        <v>45</v>
      </c>
      <c r="D206" s="128" t="s">
        <v>82</v>
      </c>
      <c r="E206" s="115" t="s">
        <v>42</v>
      </c>
      <c r="F206" s="126" t="s">
        <v>43</v>
      </c>
      <c r="G206" s="45" t="s">
        <v>1</v>
      </c>
      <c r="H206" s="46" t="s">
        <v>29</v>
      </c>
      <c r="I206" s="47" t="s">
        <v>30</v>
      </c>
    </row>
    <row r="207" spans="2:9" ht="13.2">
      <c r="B207" s="49" t="s">
        <v>65</v>
      </c>
      <c r="C207" s="50" t="s">
        <v>36</v>
      </c>
      <c r="D207" s="51"/>
      <c r="E207" s="52" t="s">
        <v>13</v>
      </c>
      <c r="F207" s="53"/>
      <c r="G207" s="54"/>
      <c r="H207" s="55"/>
      <c r="I207" s="56"/>
    </row>
    <row r="208" spans="2:9" ht="13.2">
      <c r="B208" s="49"/>
      <c r="C208" s="57"/>
      <c r="D208" s="58"/>
      <c r="E208" s="2" t="s">
        <v>2</v>
      </c>
      <c r="F208" s="3"/>
      <c r="G208" s="31"/>
      <c r="H208" s="59"/>
      <c r="I208" s="11"/>
    </row>
    <row r="209" spans="2:9" ht="12">
      <c r="B209" s="49" t="s">
        <v>66</v>
      </c>
      <c r="C209" s="60" t="s">
        <v>37</v>
      </c>
      <c r="D209" s="61"/>
      <c r="E209" s="62" t="s">
        <v>64</v>
      </c>
      <c r="F209" s="63" t="s">
        <v>12</v>
      </c>
      <c r="G209" s="64" t="s">
        <v>12</v>
      </c>
      <c r="H209" s="109" t="s">
        <v>12</v>
      </c>
      <c r="I209" s="66" t="s">
        <v>12</v>
      </c>
    </row>
    <row r="210" spans="2:9" ht="13.2">
      <c r="B210" s="25" t="s">
        <v>67</v>
      </c>
      <c r="C210" s="67"/>
      <c r="D210" s="68"/>
      <c r="E210" s="69" t="s">
        <v>35</v>
      </c>
      <c r="F210" s="70" t="s">
        <v>15</v>
      </c>
      <c r="G210" s="71">
        <f>256*1.15</f>
        <v>294.39999999999998</v>
      </c>
      <c r="H210" s="72">
        <f>H181</f>
        <v>0</v>
      </c>
      <c r="I210" s="73">
        <f>ROUND($G210*H210,2)</f>
        <v>0</v>
      </c>
    </row>
    <row r="211" spans="2:9" ht="13.2">
      <c r="B211" s="25" t="s">
        <v>68</v>
      </c>
      <c r="C211" s="74"/>
      <c r="D211" s="75"/>
      <c r="E211" s="69" t="s">
        <v>60</v>
      </c>
      <c r="F211" s="70" t="s">
        <v>14</v>
      </c>
      <c r="G211" s="71">
        <v>540</v>
      </c>
      <c r="H211" s="72">
        <f>H182</f>
        <v>0</v>
      </c>
      <c r="I211" s="73">
        <f>ROUND($G211*H211,2)</f>
        <v>0</v>
      </c>
    </row>
    <row r="212" spans="2:9" ht="13.2">
      <c r="B212" s="25" t="s">
        <v>69</v>
      </c>
      <c r="C212" s="74"/>
      <c r="D212" s="75"/>
      <c r="E212" s="69" t="s">
        <v>61</v>
      </c>
      <c r="F212" s="70" t="s">
        <v>14</v>
      </c>
      <c r="G212" s="71">
        <v>18</v>
      </c>
      <c r="H212" s="72">
        <f>H211</f>
        <v>0</v>
      </c>
      <c r="I212" s="73">
        <f>ROUND($G212*H212,2)</f>
        <v>0</v>
      </c>
    </row>
    <row r="213" spans="2:9" ht="22.8">
      <c r="B213" s="25" t="s">
        <v>70</v>
      </c>
      <c r="C213" s="76"/>
      <c r="D213" s="76"/>
      <c r="E213" s="77" t="s">
        <v>62</v>
      </c>
      <c r="F213" s="70" t="s">
        <v>5</v>
      </c>
      <c r="G213" s="71">
        <v>24</v>
      </c>
      <c r="H213" s="72">
        <f>H181</f>
        <v>0</v>
      </c>
      <c r="I213" s="73">
        <f>ROUND($G213*H213,2)</f>
        <v>0</v>
      </c>
    </row>
    <row r="214" spans="2:9" ht="13.2">
      <c r="B214" s="78"/>
      <c r="C214" s="79"/>
      <c r="D214" s="80"/>
      <c r="E214" s="81" t="s">
        <v>16</v>
      </c>
      <c r="F214" s="82" t="s">
        <v>34</v>
      </c>
      <c r="G214" s="15"/>
      <c r="H214" s="116"/>
      <c r="I214" s="117" t="s">
        <v>12</v>
      </c>
    </row>
    <row r="215" spans="2:9" ht="13.2">
      <c r="B215" s="49" t="s">
        <v>71</v>
      </c>
      <c r="C215" s="50" t="s">
        <v>38</v>
      </c>
      <c r="D215" s="51"/>
      <c r="E215" s="52" t="s">
        <v>17</v>
      </c>
      <c r="F215" s="53"/>
      <c r="G215" s="84"/>
      <c r="H215" s="112"/>
      <c r="I215" s="56"/>
    </row>
    <row r="216" spans="2:9" ht="24">
      <c r="B216" s="49"/>
      <c r="C216" s="57"/>
      <c r="D216" s="58"/>
      <c r="E216" s="85" t="s">
        <v>63</v>
      </c>
      <c r="F216" s="3"/>
      <c r="G216" s="10"/>
      <c r="H216" s="30"/>
      <c r="I216" s="24"/>
    </row>
    <row r="217" spans="2:9" ht="13.2">
      <c r="B217" s="49" t="s">
        <v>72</v>
      </c>
      <c r="C217" s="87" t="s">
        <v>39</v>
      </c>
      <c r="D217" s="88"/>
      <c r="E217" s="89" t="s">
        <v>18</v>
      </c>
      <c r="F217" s="90" t="s">
        <v>12</v>
      </c>
      <c r="G217" s="91" t="s">
        <v>12</v>
      </c>
      <c r="H217" s="92"/>
      <c r="I217" s="93" t="s">
        <v>12</v>
      </c>
    </row>
    <row r="218" spans="2:9" ht="45.6">
      <c r="B218" s="25" t="s">
        <v>73</v>
      </c>
      <c r="C218" s="94"/>
      <c r="D218" s="95"/>
      <c r="E218" s="96" t="s">
        <v>19</v>
      </c>
      <c r="F218" s="90" t="s">
        <v>20</v>
      </c>
      <c r="G218" s="71">
        <f>183.4*17.5-45.3*8</f>
        <v>2847.1</v>
      </c>
      <c r="H218" s="72">
        <f>H196</f>
        <v>0</v>
      </c>
      <c r="I218" s="73">
        <f>ROUND($G218*H218,2)</f>
        <v>0</v>
      </c>
    </row>
    <row r="219" spans="2:9" ht="13.2">
      <c r="B219" s="49" t="s">
        <v>74</v>
      </c>
      <c r="C219" s="87" t="s">
        <v>40</v>
      </c>
      <c r="D219" s="88"/>
      <c r="E219" s="97" t="s">
        <v>22</v>
      </c>
      <c r="F219" s="90" t="s">
        <v>12</v>
      </c>
      <c r="G219" s="91" t="s">
        <v>12</v>
      </c>
      <c r="H219" s="92"/>
      <c r="I219" s="93" t="s">
        <v>12</v>
      </c>
    </row>
    <row r="220" spans="2:9" ht="34.200000000000003">
      <c r="B220" s="25" t="s">
        <v>75</v>
      </c>
      <c r="C220" s="98"/>
      <c r="D220" s="99"/>
      <c r="E220" s="100" t="s">
        <v>32</v>
      </c>
      <c r="F220" s="90" t="s">
        <v>20</v>
      </c>
      <c r="G220" s="71">
        <f>25.7*17.5</f>
        <v>449.75</v>
      </c>
      <c r="H220" s="72">
        <f>H199</f>
        <v>0</v>
      </c>
      <c r="I220" s="73">
        <f>ROUND($G220*H220,2)</f>
        <v>0</v>
      </c>
    </row>
    <row r="221" spans="2:9" ht="34.200000000000003">
      <c r="B221" s="25" t="s">
        <v>76</v>
      </c>
      <c r="C221" s="101"/>
      <c r="D221" s="102"/>
      <c r="E221" s="100" t="s">
        <v>24</v>
      </c>
      <c r="F221" s="90" t="s">
        <v>20</v>
      </c>
      <c r="G221" s="71">
        <f>55.9*17.5</f>
        <v>978.25</v>
      </c>
      <c r="H221" s="72">
        <f>H220</f>
        <v>0</v>
      </c>
      <c r="I221" s="73">
        <f>ROUND($G221*H221,2)</f>
        <v>0</v>
      </c>
    </row>
    <row r="222" spans="2:9" ht="22.8">
      <c r="B222" s="25" t="s">
        <v>77</v>
      </c>
      <c r="C222" s="101"/>
      <c r="D222" s="102"/>
      <c r="E222" s="100" t="s">
        <v>33</v>
      </c>
      <c r="F222" s="90" t="s">
        <v>20</v>
      </c>
      <c r="G222" s="71">
        <f>0.5*6.5*8+0.5*5.6*8.8+0.5*6.6*8.4+0.5*6.55*8.5</f>
        <v>106.2</v>
      </c>
      <c r="H222" s="72">
        <f>H221</f>
        <v>0</v>
      </c>
      <c r="I222" s="73">
        <f>ROUND($G222*H222,2)</f>
        <v>0</v>
      </c>
    </row>
    <row r="223" spans="2:9" ht="22.8">
      <c r="B223" s="25" t="s">
        <v>78</v>
      </c>
      <c r="C223" s="94"/>
      <c r="D223" s="94"/>
      <c r="E223" s="103" t="s">
        <v>239</v>
      </c>
      <c r="F223" s="90" t="s">
        <v>15</v>
      </c>
      <c r="G223" s="71">
        <f>18.1*(4.25+3.5*2)*2</f>
        <v>407.25</v>
      </c>
      <c r="H223" s="72">
        <f>H202</f>
        <v>0</v>
      </c>
      <c r="I223" s="73">
        <f>ROUND($G223*H223,2)</f>
        <v>0</v>
      </c>
    </row>
    <row r="224" spans="2:9" ht="13.8">
      <c r="B224" s="49"/>
      <c r="C224" s="344" t="s">
        <v>81</v>
      </c>
      <c r="D224" s="344"/>
      <c r="E224" s="344"/>
      <c r="F224" s="105"/>
      <c r="G224" s="106"/>
      <c r="H224" s="144" t="s">
        <v>12</v>
      </c>
      <c r="I224" s="108">
        <f>SUM(I210:I223)</f>
        <v>0</v>
      </c>
    </row>
    <row r="225" spans="2:9" ht="26.4">
      <c r="B225" s="41" t="s">
        <v>41</v>
      </c>
      <c r="C225" s="356" t="s">
        <v>44</v>
      </c>
      <c r="D225" s="357"/>
      <c r="E225" s="357"/>
      <c r="F225" s="357"/>
      <c r="G225" s="357"/>
      <c r="H225" s="357"/>
      <c r="I225" s="358"/>
    </row>
    <row r="226" spans="2:9" ht="26.4">
      <c r="B226" s="127" t="s">
        <v>83</v>
      </c>
      <c r="C226" s="340" t="s">
        <v>128</v>
      </c>
      <c r="D226" s="341"/>
      <c r="E226" s="342"/>
      <c r="F226" s="342"/>
      <c r="G226" s="342"/>
      <c r="H226" s="342"/>
      <c r="I226" s="343"/>
    </row>
    <row r="227" spans="2:9" ht="24">
      <c r="B227" s="43" t="s">
        <v>0</v>
      </c>
      <c r="C227" s="44" t="s">
        <v>45</v>
      </c>
      <c r="D227" s="128" t="s">
        <v>82</v>
      </c>
      <c r="E227" s="115" t="s">
        <v>42</v>
      </c>
      <c r="F227" s="126" t="s">
        <v>43</v>
      </c>
      <c r="G227" s="45" t="s">
        <v>1</v>
      </c>
      <c r="H227" s="46" t="s">
        <v>29</v>
      </c>
      <c r="I227" s="47" t="s">
        <v>30</v>
      </c>
    </row>
    <row r="228" spans="2:9" ht="13.2">
      <c r="B228" s="49" t="s">
        <v>65</v>
      </c>
      <c r="C228" s="50" t="s">
        <v>36</v>
      </c>
      <c r="D228" s="51"/>
      <c r="E228" s="52" t="s">
        <v>13</v>
      </c>
      <c r="F228" s="53"/>
      <c r="G228" s="54"/>
      <c r="H228" s="55"/>
      <c r="I228" s="56"/>
    </row>
    <row r="229" spans="2:9" ht="13.2">
      <c r="B229" s="49"/>
      <c r="C229" s="57"/>
      <c r="D229" s="58"/>
      <c r="E229" s="2" t="s">
        <v>2</v>
      </c>
      <c r="F229" s="3"/>
      <c r="G229" s="31"/>
      <c r="H229" s="59"/>
      <c r="I229" s="11"/>
    </row>
    <row r="230" spans="2:9" ht="12">
      <c r="B230" s="49" t="s">
        <v>66</v>
      </c>
      <c r="C230" s="60" t="s">
        <v>37</v>
      </c>
      <c r="D230" s="61"/>
      <c r="E230" s="62" t="s">
        <v>64</v>
      </c>
      <c r="F230" s="63" t="s">
        <v>12</v>
      </c>
      <c r="G230" s="64" t="s">
        <v>12</v>
      </c>
      <c r="H230" s="109" t="s">
        <v>12</v>
      </c>
      <c r="I230" s="66" t="s">
        <v>12</v>
      </c>
    </row>
    <row r="231" spans="2:9" ht="13.2">
      <c r="B231" s="25" t="s">
        <v>67</v>
      </c>
      <c r="C231" s="67"/>
      <c r="D231" s="68"/>
      <c r="E231" s="69" t="s">
        <v>35</v>
      </c>
      <c r="F231" s="70" t="s">
        <v>15</v>
      </c>
      <c r="G231" s="71">
        <f>142*1.2</f>
        <v>170.4</v>
      </c>
      <c r="H231" s="145">
        <f>H210</f>
        <v>0</v>
      </c>
      <c r="I231" s="146">
        <f>ROUND($G231*H231,2)</f>
        <v>0</v>
      </c>
    </row>
    <row r="232" spans="2:9" ht="13.2">
      <c r="B232" s="25" t="s">
        <v>68</v>
      </c>
      <c r="C232" s="74"/>
      <c r="D232" s="75"/>
      <c r="E232" s="69" t="s">
        <v>60</v>
      </c>
      <c r="F232" s="70" t="s">
        <v>14</v>
      </c>
      <c r="G232" s="71">
        <v>425</v>
      </c>
      <c r="H232" s="145">
        <f>H211</f>
        <v>0</v>
      </c>
      <c r="I232" s="146">
        <f>ROUND($G232*H232,2)</f>
        <v>0</v>
      </c>
    </row>
    <row r="233" spans="2:9" ht="13.2">
      <c r="B233" s="25" t="s">
        <v>69</v>
      </c>
      <c r="C233" s="74"/>
      <c r="D233" s="75"/>
      <c r="E233" s="69" t="s">
        <v>61</v>
      </c>
      <c r="F233" s="70" t="s">
        <v>14</v>
      </c>
      <c r="G233" s="71">
        <v>16</v>
      </c>
      <c r="H233" s="145">
        <f>H232</f>
        <v>0</v>
      </c>
      <c r="I233" s="146">
        <f>ROUND($G233*H233,2)</f>
        <v>0</v>
      </c>
    </row>
    <row r="234" spans="2:9" ht="22.8">
      <c r="B234" s="25" t="s">
        <v>70</v>
      </c>
      <c r="C234" s="74"/>
      <c r="D234" s="74"/>
      <c r="E234" s="77" t="s">
        <v>62</v>
      </c>
      <c r="F234" s="70" t="s">
        <v>5</v>
      </c>
      <c r="G234" s="71">
        <v>23</v>
      </c>
      <c r="H234" s="145">
        <f>H231</f>
        <v>0</v>
      </c>
      <c r="I234" s="146">
        <f>ROUND($G234*H234,2)</f>
        <v>0</v>
      </c>
    </row>
    <row r="235" spans="2:9" ht="12">
      <c r="B235" s="25"/>
      <c r="C235" s="74"/>
      <c r="D235" s="75"/>
      <c r="E235" s="81" t="s">
        <v>16</v>
      </c>
      <c r="F235" s="82" t="s">
        <v>34</v>
      </c>
      <c r="G235" s="15"/>
      <c r="H235" s="123"/>
      <c r="I235" s="124" t="s">
        <v>12</v>
      </c>
    </row>
    <row r="236" spans="2:9" ht="13.2">
      <c r="B236" s="49" t="s">
        <v>71</v>
      </c>
      <c r="C236" s="50" t="s">
        <v>38</v>
      </c>
      <c r="D236" s="51"/>
      <c r="E236" s="52" t="s">
        <v>17</v>
      </c>
      <c r="F236" s="53"/>
      <c r="G236" s="84"/>
      <c r="H236" s="112"/>
      <c r="I236" s="56"/>
    </row>
    <row r="237" spans="2:9" ht="24">
      <c r="B237" s="49"/>
      <c r="C237" s="57"/>
      <c r="D237" s="58"/>
      <c r="E237" s="85" t="s">
        <v>63</v>
      </c>
      <c r="F237" s="3"/>
      <c r="G237" s="10"/>
      <c r="H237" s="35"/>
      <c r="I237" s="11"/>
    </row>
    <row r="238" spans="2:9" ht="12">
      <c r="B238" s="49" t="s">
        <v>72</v>
      </c>
      <c r="C238" s="87" t="s">
        <v>39</v>
      </c>
      <c r="D238" s="88"/>
      <c r="E238" s="89" t="s">
        <v>18</v>
      </c>
      <c r="F238" s="90" t="s">
        <v>12</v>
      </c>
      <c r="G238" s="91" t="s">
        <v>12</v>
      </c>
      <c r="H238" s="147"/>
      <c r="I238" s="66" t="s">
        <v>12</v>
      </c>
    </row>
    <row r="239" spans="2:9" ht="45.6">
      <c r="B239" s="25" t="s">
        <v>73</v>
      </c>
      <c r="C239" s="94"/>
      <c r="D239" s="95"/>
      <c r="E239" s="96" t="s">
        <v>19</v>
      </c>
      <c r="F239" s="90" t="s">
        <v>20</v>
      </c>
      <c r="G239" s="71">
        <f>(186.7-20.5)*15-35.5*8</f>
        <v>2209</v>
      </c>
      <c r="H239" s="145">
        <f>H218</f>
        <v>0</v>
      </c>
      <c r="I239" s="146">
        <f>ROUND($G239*H239,2)</f>
        <v>0</v>
      </c>
    </row>
    <row r="240" spans="2:9" ht="12">
      <c r="B240" s="49" t="s">
        <v>74</v>
      </c>
      <c r="C240" s="87" t="s">
        <v>40</v>
      </c>
      <c r="D240" s="88"/>
      <c r="E240" s="97" t="s">
        <v>22</v>
      </c>
      <c r="F240" s="90" t="s">
        <v>12</v>
      </c>
      <c r="G240" s="91" t="s">
        <v>12</v>
      </c>
      <c r="H240" s="147"/>
      <c r="I240" s="66" t="s">
        <v>12</v>
      </c>
    </row>
    <row r="241" spans="2:9" ht="34.200000000000003">
      <c r="B241" s="25" t="s">
        <v>75</v>
      </c>
      <c r="C241" s="98"/>
      <c r="D241" s="99"/>
      <c r="E241" s="100" t="s">
        <v>32</v>
      </c>
      <c r="F241" s="90" t="s">
        <v>20</v>
      </c>
      <c r="G241" s="71">
        <f>14.5*15</f>
        <v>217.5</v>
      </c>
      <c r="H241" s="145">
        <f>H242</f>
        <v>0</v>
      </c>
      <c r="I241" s="146">
        <f>ROUND($G241*H241,2)</f>
        <v>0</v>
      </c>
    </row>
    <row r="242" spans="2:9" ht="34.200000000000003">
      <c r="B242" s="25" t="s">
        <v>76</v>
      </c>
      <c r="C242" s="101"/>
      <c r="D242" s="102"/>
      <c r="E242" s="100" t="s">
        <v>24</v>
      </c>
      <c r="F242" s="90" t="s">
        <v>20</v>
      </c>
      <c r="G242" s="71">
        <f>51.5*15</f>
        <v>772.5</v>
      </c>
      <c r="H242" s="145">
        <f>H221</f>
        <v>0</v>
      </c>
      <c r="I242" s="146">
        <f>ROUND($G242*H242,2)</f>
        <v>0</v>
      </c>
    </row>
    <row r="243" spans="2:9" ht="22.8">
      <c r="B243" s="25" t="s">
        <v>77</v>
      </c>
      <c r="C243" s="101"/>
      <c r="D243" s="102"/>
      <c r="E243" s="100" t="s">
        <v>33</v>
      </c>
      <c r="F243" s="90" t="s">
        <v>20</v>
      </c>
      <c r="G243" s="71">
        <f>0.5*4.3*6.3*9.1+0.5*4.4*6.1*9.4+0.5*4.9*7.45*6.7+0.5*2.76*4.7</f>
        <v>378.19</v>
      </c>
      <c r="H243" s="145">
        <f>H242</f>
        <v>0</v>
      </c>
      <c r="I243" s="146">
        <f>ROUND($G243*H243,2)</f>
        <v>0</v>
      </c>
    </row>
    <row r="244" spans="2:9" ht="22.8">
      <c r="B244" s="25" t="s">
        <v>78</v>
      </c>
      <c r="C244" s="94"/>
      <c r="D244" s="94"/>
      <c r="E244" s="103" t="s">
        <v>239</v>
      </c>
      <c r="F244" s="90" t="s">
        <v>15</v>
      </c>
      <c r="G244" s="71">
        <f>(4.25+3.5*2)*15.8*2</f>
        <v>355.5</v>
      </c>
      <c r="H244" s="145">
        <f>H223</f>
        <v>0</v>
      </c>
      <c r="I244" s="146">
        <f>ROUND($G244*H244,2)</f>
        <v>0</v>
      </c>
    </row>
    <row r="245" spans="2:9" ht="13.8">
      <c r="B245" s="49"/>
      <c r="C245" s="359" t="s">
        <v>81</v>
      </c>
      <c r="D245" s="360"/>
      <c r="E245" s="361"/>
      <c r="F245" s="105"/>
      <c r="G245" s="106"/>
      <c r="H245" s="29" t="s">
        <v>12</v>
      </c>
      <c r="I245" s="108">
        <f>SUM(I231:I244)</f>
        <v>0</v>
      </c>
    </row>
    <row r="246" spans="2:9" ht="26.4">
      <c r="B246" s="41" t="s">
        <v>41</v>
      </c>
      <c r="C246" s="356" t="s">
        <v>44</v>
      </c>
      <c r="D246" s="357"/>
      <c r="E246" s="357"/>
      <c r="F246" s="357"/>
      <c r="G246" s="357"/>
      <c r="H246" s="357"/>
      <c r="I246" s="358"/>
    </row>
    <row r="247" spans="2:9" ht="26.4">
      <c r="B247" s="127" t="s">
        <v>83</v>
      </c>
      <c r="C247" s="340" t="s">
        <v>129</v>
      </c>
      <c r="D247" s="341"/>
      <c r="E247" s="342"/>
      <c r="F247" s="342"/>
      <c r="G247" s="342"/>
      <c r="H247" s="342"/>
      <c r="I247" s="343"/>
    </row>
    <row r="248" spans="2:9" ht="24">
      <c r="B248" s="43" t="s">
        <v>0</v>
      </c>
      <c r="C248" s="44" t="s">
        <v>45</v>
      </c>
      <c r="D248" s="128" t="s">
        <v>82</v>
      </c>
      <c r="E248" s="115" t="s">
        <v>42</v>
      </c>
      <c r="F248" s="126" t="s">
        <v>43</v>
      </c>
      <c r="G248" s="45" t="s">
        <v>1</v>
      </c>
      <c r="H248" s="46" t="s">
        <v>29</v>
      </c>
      <c r="I248" s="47" t="s">
        <v>30</v>
      </c>
    </row>
    <row r="249" spans="2:9" ht="13.2">
      <c r="B249" s="49" t="s">
        <v>65</v>
      </c>
      <c r="C249" s="50" t="s">
        <v>36</v>
      </c>
      <c r="D249" s="51"/>
      <c r="E249" s="52" t="s">
        <v>13</v>
      </c>
      <c r="F249" s="53"/>
      <c r="G249" s="148"/>
      <c r="H249" s="55"/>
      <c r="I249" s="56"/>
    </row>
    <row r="250" spans="2:9" ht="13.2">
      <c r="B250" s="49"/>
      <c r="C250" s="57"/>
      <c r="D250" s="58"/>
      <c r="E250" s="2" t="s">
        <v>2</v>
      </c>
      <c r="F250" s="3"/>
      <c r="G250" s="149"/>
      <c r="H250" s="59"/>
      <c r="I250" s="11"/>
    </row>
    <row r="251" spans="2:9" ht="12">
      <c r="B251" s="49" t="s">
        <v>66</v>
      </c>
      <c r="C251" s="60" t="s">
        <v>37</v>
      </c>
      <c r="D251" s="61"/>
      <c r="E251" s="62" t="s">
        <v>64</v>
      </c>
      <c r="F251" s="63" t="s">
        <v>12</v>
      </c>
      <c r="G251" s="64" t="s">
        <v>12</v>
      </c>
      <c r="H251" s="109" t="s">
        <v>12</v>
      </c>
      <c r="I251" s="66" t="s">
        <v>12</v>
      </c>
    </row>
    <row r="252" spans="2:9" ht="13.2">
      <c r="B252" s="25" t="s">
        <v>67</v>
      </c>
      <c r="C252" s="67"/>
      <c r="D252" s="68"/>
      <c r="E252" s="69" t="s">
        <v>130</v>
      </c>
      <c r="F252" s="70" t="s">
        <v>15</v>
      </c>
      <c r="G252" s="150">
        <v>650</v>
      </c>
      <c r="H252" s="151">
        <f>H231</f>
        <v>0</v>
      </c>
      <c r="I252" s="152">
        <f>ROUND($G252*H252,2)</f>
        <v>0</v>
      </c>
    </row>
    <row r="253" spans="2:9" ht="13.2">
      <c r="B253" s="25" t="s">
        <v>68</v>
      </c>
      <c r="C253" s="74"/>
      <c r="D253" s="75"/>
      <c r="E253" s="69" t="s">
        <v>131</v>
      </c>
      <c r="F253" s="70" t="s">
        <v>14</v>
      </c>
      <c r="G253" s="150">
        <v>615</v>
      </c>
      <c r="H253" s="151">
        <f>H232</f>
        <v>0</v>
      </c>
      <c r="I253" s="152">
        <f t="shared" ref="I253:I254" si="11">ROUND($G253*H253,2)</f>
        <v>0</v>
      </c>
    </row>
    <row r="254" spans="2:9">
      <c r="B254" s="134" t="s">
        <v>132</v>
      </c>
      <c r="C254" s="76"/>
      <c r="D254" s="76"/>
      <c r="E254" s="77" t="s">
        <v>133</v>
      </c>
      <c r="F254" s="70" t="s">
        <v>5</v>
      </c>
      <c r="G254" s="150">
        <v>28</v>
      </c>
      <c r="H254" s="151">
        <f>H234</f>
        <v>0</v>
      </c>
      <c r="I254" s="152">
        <f t="shared" si="11"/>
        <v>0</v>
      </c>
    </row>
    <row r="255" spans="2:9" ht="12">
      <c r="B255" s="78"/>
      <c r="C255" s="79"/>
      <c r="D255" s="80"/>
      <c r="E255" s="81" t="s">
        <v>16</v>
      </c>
      <c r="F255" s="82" t="s">
        <v>34</v>
      </c>
      <c r="G255" s="153"/>
      <c r="H255" s="123"/>
      <c r="I255" s="124" t="s">
        <v>12</v>
      </c>
    </row>
    <row r="256" spans="2:9" ht="13.2">
      <c r="B256" s="49" t="s">
        <v>71</v>
      </c>
      <c r="C256" s="50" t="s">
        <v>38</v>
      </c>
      <c r="D256" s="51"/>
      <c r="E256" s="52" t="s">
        <v>17</v>
      </c>
      <c r="F256" s="53"/>
      <c r="G256" s="154"/>
      <c r="H256" s="112"/>
      <c r="I256" s="56"/>
    </row>
    <row r="257" spans="2:9" ht="24">
      <c r="B257" s="49"/>
      <c r="C257" s="57"/>
      <c r="D257" s="58"/>
      <c r="E257" s="85" t="s">
        <v>63</v>
      </c>
      <c r="F257" s="3"/>
      <c r="G257" s="155"/>
      <c r="H257" s="35"/>
      <c r="I257" s="11"/>
    </row>
    <row r="258" spans="2:9" ht="12">
      <c r="B258" s="49" t="s">
        <v>72</v>
      </c>
      <c r="C258" s="87" t="s">
        <v>39</v>
      </c>
      <c r="D258" s="88"/>
      <c r="E258" s="89" t="s">
        <v>18</v>
      </c>
      <c r="F258" s="90" t="s">
        <v>12</v>
      </c>
      <c r="G258" s="91" t="s">
        <v>12</v>
      </c>
      <c r="H258" s="147"/>
      <c r="I258" s="66" t="s">
        <v>12</v>
      </c>
    </row>
    <row r="259" spans="2:9" ht="45.6">
      <c r="B259" s="25" t="s">
        <v>73</v>
      </c>
      <c r="C259" s="94"/>
      <c r="D259" s="95"/>
      <c r="E259" s="96" t="s">
        <v>19</v>
      </c>
      <c r="F259" s="90" t="s">
        <v>20</v>
      </c>
      <c r="G259" s="150">
        <v>27990</v>
      </c>
      <c r="H259" s="151">
        <f>H239</f>
        <v>0</v>
      </c>
      <c r="I259" s="152">
        <f t="shared" ref="I259" si="12">ROUND($G259*H259,2)</f>
        <v>0</v>
      </c>
    </row>
    <row r="260" spans="2:9" ht="12">
      <c r="B260" s="49" t="s">
        <v>74</v>
      </c>
      <c r="C260" s="87" t="s">
        <v>40</v>
      </c>
      <c r="D260" s="88"/>
      <c r="E260" s="97" t="s">
        <v>22</v>
      </c>
      <c r="F260" s="90" t="s">
        <v>12</v>
      </c>
      <c r="G260" s="91" t="s">
        <v>12</v>
      </c>
      <c r="H260" s="147"/>
      <c r="I260" s="66" t="s">
        <v>12</v>
      </c>
    </row>
    <row r="261" spans="2:9" ht="34.200000000000003">
      <c r="B261" s="25" t="s">
        <v>75</v>
      </c>
      <c r="C261" s="98"/>
      <c r="D261" s="99"/>
      <c r="E261" s="100" t="s">
        <v>32</v>
      </c>
      <c r="F261" s="90" t="s">
        <v>20</v>
      </c>
      <c r="G261" s="150">
        <v>2492</v>
      </c>
      <c r="H261" s="151">
        <f>H241</f>
        <v>0</v>
      </c>
      <c r="I261" s="152">
        <f t="shared" ref="I261:I265" si="13">ROUND($G261*H261,2)</f>
        <v>0</v>
      </c>
    </row>
    <row r="262" spans="2:9" ht="34.200000000000003">
      <c r="B262" s="25" t="s">
        <v>76</v>
      </c>
      <c r="C262" s="101"/>
      <c r="D262" s="102"/>
      <c r="E262" s="100" t="s">
        <v>24</v>
      </c>
      <c r="F262" s="90" t="s">
        <v>20</v>
      </c>
      <c r="G262" s="150">
        <v>6288</v>
      </c>
      <c r="H262" s="151">
        <f>H261</f>
        <v>0</v>
      </c>
      <c r="I262" s="152">
        <f t="shared" si="13"/>
        <v>0</v>
      </c>
    </row>
    <row r="263" spans="2:9" ht="22.8">
      <c r="B263" s="25" t="s">
        <v>77</v>
      </c>
      <c r="C263" s="101"/>
      <c r="D263" s="102"/>
      <c r="E263" s="100" t="s">
        <v>33</v>
      </c>
      <c r="F263" s="90" t="s">
        <v>20</v>
      </c>
      <c r="G263" s="150">
        <v>7710</v>
      </c>
      <c r="H263" s="151">
        <f>H262</f>
        <v>0</v>
      </c>
      <c r="I263" s="152">
        <f t="shared" si="13"/>
        <v>0</v>
      </c>
    </row>
    <row r="264" spans="2:9" ht="22.8">
      <c r="B264" s="25" t="s">
        <v>95</v>
      </c>
      <c r="C264" s="113"/>
      <c r="D264" s="113"/>
      <c r="E264" s="103" t="s">
        <v>96</v>
      </c>
      <c r="F264" s="90" t="s">
        <v>20</v>
      </c>
      <c r="G264" s="150">
        <v>9375</v>
      </c>
      <c r="H264" s="151">
        <f>H263</f>
        <v>0</v>
      </c>
      <c r="I264" s="152">
        <f t="shared" si="13"/>
        <v>0</v>
      </c>
    </row>
    <row r="265" spans="2:9" ht="22.8">
      <c r="B265" s="25" t="s">
        <v>78</v>
      </c>
      <c r="C265" s="94"/>
      <c r="D265" s="94"/>
      <c r="E265" s="103" t="s">
        <v>239</v>
      </c>
      <c r="F265" s="90" t="s">
        <v>15</v>
      </c>
      <c r="G265" s="150">
        <v>575</v>
      </c>
      <c r="H265" s="151">
        <f>H244</f>
        <v>0</v>
      </c>
      <c r="I265" s="152">
        <f t="shared" si="13"/>
        <v>0</v>
      </c>
    </row>
    <row r="266" spans="2:9" ht="13.8">
      <c r="B266" s="49"/>
      <c r="C266" s="359" t="s">
        <v>81</v>
      </c>
      <c r="D266" s="360"/>
      <c r="E266" s="361"/>
      <c r="F266" s="105"/>
      <c r="G266" s="106"/>
      <c r="H266" s="29" t="s">
        <v>12</v>
      </c>
      <c r="I266" s="114">
        <f>SUM(I252:I265)</f>
        <v>0</v>
      </c>
    </row>
    <row r="267" spans="2:9" ht="26.4">
      <c r="B267" s="41" t="s">
        <v>41</v>
      </c>
      <c r="C267" s="345" t="s">
        <v>88</v>
      </c>
      <c r="D267" s="346"/>
      <c r="E267" s="350"/>
      <c r="F267" s="350"/>
      <c r="G267" s="350"/>
      <c r="H267" s="350"/>
      <c r="I267" s="351"/>
    </row>
    <row r="268" spans="2:9" ht="26.4">
      <c r="B268" s="127" t="s">
        <v>83</v>
      </c>
      <c r="C268" s="340" t="s">
        <v>134</v>
      </c>
      <c r="D268" s="341"/>
      <c r="E268" s="342"/>
      <c r="F268" s="342"/>
      <c r="G268" s="342"/>
      <c r="H268" s="342"/>
      <c r="I268" s="343"/>
    </row>
    <row r="269" spans="2:9" ht="24">
      <c r="B269" s="43" t="s">
        <v>0</v>
      </c>
      <c r="C269" s="44" t="s">
        <v>45</v>
      </c>
      <c r="D269" s="128" t="s">
        <v>82</v>
      </c>
      <c r="E269" s="115" t="s">
        <v>42</v>
      </c>
      <c r="F269" s="126" t="s">
        <v>43</v>
      </c>
      <c r="G269" s="45" t="s">
        <v>1</v>
      </c>
      <c r="H269" s="46" t="s">
        <v>29</v>
      </c>
      <c r="I269" s="47" t="s">
        <v>30</v>
      </c>
    </row>
    <row r="270" spans="2:9" ht="13.2">
      <c r="B270" s="49" t="s">
        <v>65</v>
      </c>
      <c r="C270" s="50" t="s">
        <v>36</v>
      </c>
      <c r="D270" s="51"/>
      <c r="E270" s="52" t="s">
        <v>13</v>
      </c>
      <c r="F270" s="53"/>
      <c r="G270" s="148"/>
      <c r="H270" s="55"/>
      <c r="I270" s="56"/>
    </row>
    <row r="271" spans="2:9" ht="13.2">
      <c r="B271" s="49"/>
      <c r="C271" s="57"/>
      <c r="D271" s="58"/>
      <c r="E271" s="2" t="s">
        <v>2</v>
      </c>
      <c r="F271" s="3"/>
      <c r="G271" s="149"/>
      <c r="H271" s="59"/>
      <c r="I271" s="11"/>
    </row>
    <row r="272" spans="2:9" ht="12">
      <c r="B272" s="49" t="s">
        <v>66</v>
      </c>
      <c r="C272" s="60" t="s">
        <v>37</v>
      </c>
      <c r="D272" s="61"/>
      <c r="E272" s="62" t="s">
        <v>64</v>
      </c>
      <c r="F272" s="63" t="s">
        <v>12</v>
      </c>
      <c r="G272" s="64" t="s">
        <v>12</v>
      </c>
      <c r="H272" s="109" t="s">
        <v>12</v>
      </c>
      <c r="I272" s="66" t="s">
        <v>12</v>
      </c>
    </row>
    <row r="273" spans="2:9" ht="13.2">
      <c r="B273" s="25" t="s">
        <v>67</v>
      </c>
      <c r="C273" s="156"/>
      <c r="D273" s="157"/>
      <c r="E273" s="69" t="s">
        <v>35</v>
      </c>
      <c r="F273" s="70" t="s">
        <v>15</v>
      </c>
      <c r="G273" s="150">
        <v>520</v>
      </c>
      <c r="H273" s="158">
        <f>H252</f>
        <v>0</v>
      </c>
      <c r="I273" s="73">
        <f>ROUND($G273*H273,2)</f>
        <v>0</v>
      </c>
    </row>
    <row r="274" spans="2:9" ht="13.2">
      <c r="B274" s="78"/>
      <c r="C274" s="79"/>
      <c r="D274" s="80"/>
      <c r="E274" s="81" t="s">
        <v>16</v>
      </c>
      <c r="F274" s="82" t="s">
        <v>34</v>
      </c>
      <c r="G274" s="153"/>
      <c r="H274" s="159"/>
      <c r="I274" s="160" t="s">
        <v>12</v>
      </c>
    </row>
    <row r="275" spans="2:9" ht="13.2">
      <c r="B275" s="49" t="s">
        <v>71</v>
      </c>
      <c r="C275" s="50" t="s">
        <v>38</v>
      </c>
      <c r="D275" s="51"/>
      <c r="E275" s="52" t="s">
        <v>17</v>
      </c>
      <c r="F275" s="53"/>
      <c r="G275" s="148"/>
      <c r="H275" s="112"/>
      <c r="I275" s="161"/>
    </row>
    <row r="276" spans="2:9" ht="24">
      <c r="B276" s="49"/>
      <c r="C276" s="57"/>
      <c r="D276" s="58"/>
      <c r="E276" s="85" t="s">
        <v>63</v>
      </c>
      <c r="F276" s="3"/>
      <c r="G276" s="149"/>
      <c r="H276" s="24"/>
      <c r="I276" s="24"/>
    </row>
    <row r="277" spans="2:9" ht="13.2">
      <c r="B277" s="49" t="s">
        <v>72</v>
      </c>
      <c r="C277" s="87" t="s">
        <v>39</v>
      </c>
      <c r="D277" s="88"/>
      <c r="E277" s="89" t="s">
        <v>18</v>
      </c>
      <c r="F277" s="90" t="s">
        <v>12</v>
      </c>
      <c r="G277" s="91" t="s">
        <v>12</v>
      </c>
      <c r="H277" s="162"/>
      <c r="I277" s="163" t="s">
        <v>12</v>
      </c>
    </row>
    <row r="278" spans="2:9" ht="45.6">
      <c r="B278" s="25" t="s">
        <v>73</v>
      </c>
      <c r="C278" s="94"/>
      <c r="D278" s="95"/>
      <c r="E278" s="96" t="s">
        <v>19</v>
      </c>
      <c r="F278" s="90" t="s">
        <v>20</v>
      </c>
      <c r="G278" s="150">
        <v>2125</v>
      </c>
      <c r="H278" s="158">
        <f>H259</f>
        <v>0</v>
      </c>
      <c r="I278" s="73">
        <f>ROUND($G278*H278,2)</f>
        <v>0</v>
      </c>
    </row>
    <row r="279" spans="2:9" ht="13.2">
      <c r="B279" s="49" t="s">
        <v>74</v>
      </c>
      <c r="C279" s="87" t="s">
        <v>40</v>
      </c>
      <c r="D279" s="88"/>
      <c r="E279" s="97" t="s">
        <v>22</v>
      </c>
      <c r="F279" s="90" t="s">
        <v>12</v>
      </c>
      <c r="G279" s="91" t="s">
        <v>12</v>
      </c>
      <c r="H279" s="162"/>
      <c r="I279" s="163" t="s">
        <v>12</v>
      </c>
    </row>
    <row r="280" spans="2:9" ht="34.200000000000003">
      <c r="B280" s="25" t="s">
        <v>75</v>
      </c>
      <c r="C280" s="98"/>
      <c r="D280" s="99"/>
      <c r="E280" s="100" t="s">
        <v>32</v>
      </c>
      <c r="F280" s="90" t="s">
        <v>20</v>
      </c>
      <c r="G280" s="150">
        <v>75</v>
      </c>
      <c r="H280" s="158">
        <f>H261</f>
        <v>0</v>
      </c>
      <c r="I280" s="73">
        <f>ROUND($G280*H280,2)</f>
        <v>0</v>
      </c>
    </row>
    <row r="281" spans="2:9" ht="22.8">
      <c r="B281" s="25" t="s">
        <v>76</v>
      </c>
      <c r="C281" s="113"/>
      <c r="D281" s="113"/>
      <c r="E281" s="103" t="s">
        <v>96</v>
      </c>
      <c r="F281" s="90" t="s">
        <v>20</v>
      </c>
      <c r="G281" s="150">
        <v>435</v>
      </c>
      <c r="H281" s="158">
        <f>H280</f>
        <v>0</v>
      </c>
      <c r="I281" s="73">
        <f>ROUND($G281*H281,2)</f>
        <v>0</v>
      </c>
    </row>
    <row r="282" spans="2:9" ht="13.2">
      <c r="B282" s="78"/>
      <c r="C282" s="164"/>
      <c r="D282" s="165"/>
      <c r="E282" s="81" t="s">
        <v>135</v>
      </c>
      <c r="F282" s="82" t="s">
        <v>34</v>
      </c>
      <c r="G282" s="166"/>
      <c r="H282" s="159"/>
      <c r="I282" s="160" t="s">
        <v>12</v>
      </c>
    </row>
    <row r="283" spans="2:9" ht="13.8">
      <c r="B283" s="49"/>
      <c r="C283" s="359" t="s">
        <v>81</v>
      </c>
      <c r="D283" s="360"/>
      <c r="E283" s="361"/>
      <c r="F283" s="105"/>
      <c r="G283" s="106"/>
      <c r="H283" s="33" t="s">
        <v>12</v>
      </c>
      <c r="I283" s="167">
        <f>SUM(I273:I282)</f>
        <v>0</v>
      </c>
    </row>
    <row r="284" spans="2:9" ht="26.4">
      <c r="B284" s="41" t="s">
        <v>41</v>
      </c>
      <c r="C284" s="345" t="s">
        <v>44</v>
      </c>
      <c r="D284" s="346"/>
      <c r="E284" s="346"/>
      <c r="F284" s="346"/>
      <c r="G284" s="346"/>
      <c r="H284" s="346"/>
      <c r="I284" s="349"/>
    </row>
    <row r="285" spans="2:9" ht="26.4">
      <c r="B285" s="127" t="s">
        <v>83</v>
      </c>
      <c r="C285" s="340" t="s">
        <v>136</v>
      </c>
      <c r="D285" s="341"/>
      <c r="E285" s="342"/>
      <c r="F285" s="342"/>
      <c r="G285" s="342"/>
      <c r="H285" s="342"/>
      <c r="I285" s="343"/>
    </row>
    <row r="286" spans="2:9" ht="24">
      <c r="B286" s="43" t="s">
        <v>0</v>
      </c>
      <c r="C286" s="44" t="s">
        <v>45</v>
      </c>
      <c r="D286" s="128" t="s">
        <v>82</v>
      </c>
      <c r="E286" s="115" t="s">
        <v>42</v>
      </c>
      <c r="F286" s="126" t="s">
        <v>43</v>
      </c>
      <c r="G286" s="45" t="s">
        <v>1</v>
      </c>
      <c r="H286" s="46" t="s">
        <v>29</v>
      </c>
      <c r="I286" s="47" t="s">
        <v>30</v>
      </c>
    </row>
    <row r="287" spans="2:9" ht="13.2">
      <c r="B287" s="49" t="s">
        <v>65</v>
      </c>
      <c r="C287" s="50" t="s">
        <v>36</v>
      </c>
      <c r="D287" s="51"/>
      <c r="E287" s="52" t="s">
        <v>13</v>
      </c>
      <c r="F287" s="53"/>
      <c r="G287" s="148"/>
      <c r="H287" s="55"/>
      <c r="I287" s="56"/>
    </row>
    <row r="288" spans="2:9" ht="13.2">
      <c r="B288" s="49"/>
      <c r="C288" s="57"/>
      <c r="D288" s="58"/>
      <c r="E288" s="2" t="s">
        <v>2</v>
      </c>
      <c r="F288" s="3"/>
      <c r="G288" s="149"/>
      <c r="H288" s="59"/>
      <c r="I288" s="11"/>
    </row>
    <row r="289" spans="2:9" ht="12">
      <c r="B289" s="49" t="s">
        <v>66</v>
      </c>
      <c r="C289" s="60" t="s">
        <v>37</v>
      </c>
      <c r="D289" s="61"/>
      <c r="E289" s="62" t="s">
        <v>64</v>
      </c>
      <c r="F289" s="63" t="s">
        <v>12</v>
      </c>
      <c r="G289" s="64" t="s">
        <v>12</v>
      </c>
      <c r="H289" s="109" t="s">
        <v>12</v>
      </c>
      <c r="I289" s="66" t="s">
        <v>12</v>
      </c>
    </row>
    <row r="290" spans="2:9" ht="13.2">
      <c r="B290" s="25" t="s">
        <v>67</v>
      </c>
      <c r="C290" s="156"/>
      <c r="D290" s="157"/>
      <c r="E290" s="69" t="s">
        <v>35</v>
      </c>
      <c r="F290" s="70" t="s">
        <v>15</v>
      </c>
      <c r="G290" s="150">
        <v>55</v>
      </c>
      <c r="H290" s="72">
        <f>H273</f>
        <v>0</v>
      </c>
      <c r="I290" s="168">
        <f>ROUND($G290*H290,2)</f>
        <v>0</v>
      </c>
    </row>
    <row r="291" spans="2:9" ht="13.2">
      <c r="B291" s="78"/>
      <c r="C291" s="79"/>
      <c r="D291" s="80"/>
      <c r="E291" s="81" t="s">
        <v>16</v>
      </c>
      <c r="F291" s="82" t="s">
        <v>34</v>
      </c>
      <c r="G291" s="153"/>
      <c r="H291" s="169"/>
      <c r="I291" s="117" t="s">
        <v>12</v>
      </c>
    </row>
    <row r="292" spans="2:9" ht="13.2">
      <c r="B292" s="49" t="s">
        <v>71</v>
      </c>
      <c r="C292" s="50" t="s">
        <v>38</v>
      </c>
      <c r="D292" s="51"/>
      <c r="E292" s="52" t="s">
        <v>17</v>
      </c>
      <c r="F292" s="53"/>
      <c r="G292" s="148"/>
      <c r="H292" s="112"/>
      <c r="I292" s="56"/>
    </row>
    <row r="293" spans="2:9" ht="24">
      <c r="B293" s="49"/>
      <c r="C293" s="57"/>
      <c r="D293" s="58"/>
      <c r="E293" s="85" t="s">
        <v>63</v>
      </c>
      <c r="F293" s="3"/>
      <c r="G293" s="149"/>
      <c r="H293" s="30"/>
      <c r="I293" s="24"/>
    </row>
    <row r="294" spans="2:9" ht="13.2">
      <c r="B294" s="49" t="s">
        <v>72</v>
      </c>
      <c r="C294" s="87" t="s">
        <v>39</v>
      </c>
      <c r="D294" s="88"/>
      <c r="E294" s="89" t="s">
        <v>18</v>
      </c>
      <c r="F294" s="90" t="s">
        <v>12</v>
      </c>
      <c r="G294" s="91" t="s">
        <v>12</v>
      </c>
      <c r="H294" s="92"/>
      <c r="I294" s="93" t="s">
        <v>12</v>
      </c>
    </row>
    <row r="295" spans="2:9" ht="45.6">
      <c r="B295" s="25" t="s">
        <v>73</v>
      </c>
      <c r="C295" s="94"/>
      <c r="D295" s="95"/>
      <c r="E295" s="96" t="s">
        <v>19</v>
      </c>
      <c r="F295" s="90" t="s">
        <v>20</v>
      </c>
      <c r="G295" s="150">
        <v>7510</v>
      </c>
      <c r="H295" s="72">
        <f>H278</f>
        <v>0</v>
      </c>
      <c r="I295" s="168">
        <f>ROUND($G295*H295,2)</f>
        <v>0</v>
      </c>
    </row>
    <row r="296" spans="2:9" ht="13.2">
      <c r="B296" s="49" t="s">
        <v>74</v>
      </c>
      <c r="C296" s="87" t="s">
        <v>40</v>
      </c>
      <c r="D296" s="88"/>
      <c r="E296" s="97" t="s">
        <v>22</v>
      </c>
      <c r="F296" s="90" t="s">
        <v>12</v>
      </c>
      <c r="G296" s="91" t="s">
        <v>12</v>
      </c>
      <c r="H296" s="92"/>
      <c r="I296" s="93" t="s">
        <v>12</v>
      </c>
    </row>
    <row r="297" spans="2:9" ht="34.200000000000003">
      <c r="B297" s="25" t="s">
        <v>75</v>
      </c>
      <c r="C297" s="98"/>
      <c r="D297" s="99"/>
      <c r="E297" s="100" t="s">
        <v>32</v>
      </c>
      <c r="F297" s="90" t="s">
        <v>20</v>
      </c>
      <c r="G297" s="150">
        <v>285</v>
      </c>
      <c r="H297" s="72">
        <f>H280</f>
        <v>0</v>
      </c>
      <c r="I297" s="168">
        <f>ROUND($G297*H297,2)</f>
        <v>0</v>
      </c>
    </row>
    <row r="298" spans="2:9" ht="34.200000000000003">
      <c r="B298" s="25" t="s">
        <v>76</v>
      </c>
      <c r="C298" s="113"/>
      <c r="D298" s="170"/>
      <c r="E298" s="100" t="s">
        <v>24</v>
      </c>
      <c r="F298" s="90" t="s">
        <v>20</v>
      </c>
      <c r="G298" s="150">
        <v>4940</v>
      </c>
      <c r="H298" s="72">
        <f>H297</f>
        <v>0</v>
      </c>
      <c r="I298" s="168">
        <f>ROUND($G298*H298,2)</f>
        <v>0</v>
      </c>
    </row>
    <row r="299" spans="2:9" ht="13.2">
      <c r="B299" s="25" t="s">
        <v>77</v>
      </c>
      <c r="C299" s="87" t="s">
        <v>137</v>
      </c>
      <c r="D299" s="88"/>
      <c r="E299" s="100" t="s">
        <v>138</v>
      </c>
      <c r="F299" s="90" t="s">
        <v>20</v>
      </c>
      <c r="G299" s="171" t="s">
        <v>12</v>
      </c>
      <c r="H299" s="172"/>
      <c r="I299" s="173" t="s">
        <v>12</v>
      </c>
    </row>
    <row r="300" spans="2:9" ht="22.8">
      <c r="B300" s="25" t="s">
        <v>95</v>
      </c>
      <c r="C300" s="113"/>
      <c r="D300" s="113"/>
      <c r="E300" s="103" t="s">
        <v>139</v>
      </c>
      <c r="F300" s="90" t="s">
        <v>20</v>
      </c>
      <c r="G300" s="150">
        <v>390</v>
      </c>
      <c r="H300" s="72">
        <v>0</v>
      </c>
      <c r="I300" s="168">
        <f>ROUND($G300*H300,2)</f>
        <v>0</v>
      </c>
    </row>
    <row r="301" spans="2:9" ht="13.2">
      <c r="B301" s="49" t="s">
        <v>100</v>
      </c>
      <c r="C301" s="87" t="s">
        <v>101</v>
      </c>
      <c r="D301" s="87"/>
      <c r="E301" s="118" t="s">
        <v>102</v>
      </c>
      <c r="F301" s="90" t="s">
        <v>12</v>
      </c>
      <c r="G301" s="91" t="s">
        <v>12</v>
      </c>
      <c r="H301" s="92"/>
      <c r="I301" s="93" t="s">
        <v>12</v>
      </c>
    </row>
    <row r="302" spans="2:9" ht="22.8">
      <c r="B302" s="25" t="s">
        <v>78</v>
      </c>
      <c r="C302" s="94"/>
      <c r="D302" s="94"/>
      <c r="E302" s="103" t="s">
        <v>239</v>
      </c>
      <c r="F302" s="90" t="s">
        <v>15</v>
      </c>
      <c r="G302" s="150">
        <v>380</v>
      </c>
      <c r="H302" s="72">
        <f>H265</f>
        <v>0</v>
      </c>
      <c r="I302" s="168">
        <f>ROUND($G302*H302,2)</f>
        <v>0</v>
      </c>
    </row>
    <row r="303" spans="2:9" ht="13.8">
      <c r="B303" s="49"/>
      <c r="C303" s="359" t="s">
        <v>81</v>
      </c>
      <c r="D303" s="360"/>
      <c r="E303" s="361"/>
      <c r="F303" s="105"/>
      <c r="G303" s="106"/>
      <c r="H303" s="29" t="s">
        <v>12</v>
      </c>
      <c r="I303" s="108">
        <f>SUM(I290:I302)</f>
        <v>0</v>
      </c>
    </row>
    <row r="304" spans="2:9" ht="26.4">
      <c r="B304" s="41" t="s">
        <v>41</v>
      </c>
      <c r="C304" s="345" t="s">
        <v>88</v>
      </c>
      <c r="D304" s="346"/>
      <c r="E304" s="350"/>
      <c r="F304" s="350"/>
      <c r="G304" s="350"/>
      <c r="H304" s="350"/>
      <c r="I304" s="351"/>
    </row>
    <row r="305" spans="2:9" ht="26.4">
      <c r="B305" s="127" t="s">
        <v>83</v>
      </c>
      <c r="C305" s="340" t="s">
        <v>140</v>
      </c>
      <c r="D305" s="341"/>
      <c r="E305" s="342"/>
      <c r="F305" s="342"/>
      <c r="G305" s="342"/>
      <c r="H305" s="342"/>
      <c r="I305" s="343"/>
    </row>
    <row r="306" spans="2:9" ht="24">
      <c r="B306" s="43" t="s">
        <v>0</v>
      </c>
      <c r="C306" s="44" t="s">
        <v>45</v>
      </c>
      <c r="D306" s="128" t="s">
        <v>82</v>
      </c>
      <c r="E306" s="115" t="s">
        <v>42</v>
      </c>
      <c r="F306" s="126" t="s">
        <v>43</v>
      </c>
      <c r="G306" s="45" t="s">
        <v>1</v>
      </c>
      <c r="H306" s="46" t="s">
        <v>29</v>
      </c>
      <c r="I306" s="47" t="s">
        <v>30</v>
      </c>
    </row>
    <row r="307" spans="2:9" ht="13.2">
      <c r="B307" s="49" t="s">
        <v>65</v>
      </c>
      <c r="C307" s="50" t="s">
        <v>36</v>
      </c>
      <c r="D307" s="51"/>
      <c r="E307" s="52" t="s">
        <v>13</v>
      </c>
      <c r="F307" s="53"/>
      <c r="G307" s="54"/>
      <c r="H307" s="55"/>
      <c r="I307" s="56"/>
    </row>
    <row r="308" spans="2:9" ht="13.2">
      <c r="B308" s="49"/>
      <c r="C308" s="57"/>
      <c r="D308" s="58"/>
      <c r="E308" s="2" t="s">
        <v>2</v>
      </c>
      <c r="F308" s="3"/>
      <c r="G308" s="31"/>
      <c r="H308" s="59"/>
      <c r="I308" s="11"/>
    </row>
    <row r="309" spans="2:9" ht="12">
      <c r="B309" s="49" t="s">
        <v>66</v>
      </c>
      <c r="C309" s="60" t="s">
        <v>37</v>
      </c>
      <c r="D309" s="61"/>
      <c r="E309" s="62" t="s">
        <v>64</v>
      </c>
      <c r="F309" s="63" t="s">
        <v>12</v>
      </c>
      <c r="G309" s="64" t="s">
        <v>12</v>
      </c>
      <c r="H309" s="109" t="s">
        <v>12</v>
      </c>
      <c r="I309" s="66" t="s">
        <v>12</v>
      </c>
    </row>
    <row r="310" spans="2:9" ht="13.2">
      <c r="B310" s="25" t="s">
        <v>67</v>
      </c>
      <c r="C310" s="67"/>
      <c r="D310" s="68"/>
      <c r="E310" s="69" t="s">
        <v>35</v>
      </c>
      <c r="F310" s="174" t="s">
        <v>15</v>
      </c>
      <c r="G310" s="71">
        <v>130</v>
      </c>
      <c r="H310" s="72">
        <f>H290</f>
        <v>0</v>
      </c>
      <c r="I310" s="168">
        <f>ROUND($G310*H310,2)</f>
        <v>0</v>
      </c>
    </row>
    <row r="311" spans="2:9" ht="13.2">
      <c r="B311" s="25" t="s">
        <v>68</v>
      </c>
      <c r="C311" s="74"/>
      <c r="D311" s="75"/>
      <c r="E311" s="69" t="s">
        <v>60</v>
      </c>
      <c r="F311" s="70" t="s">
        <v>14</v>
      </c>
      <c r="G311" s="71">
        <v>315</v>
      </c>
      <c r="H311" s="72">
        <f>H253</f>
        <v>0</v>
      </c>
      <c r="I311" s="168">
        <f>ROUND($G311*H311,2)</f>
        <v>0</v>
      </c>
    </row>
    <row r="312" spans="2:9" ht="13.2">
      <c r="B312" s="25" t="s">
        <v>69</v>
      </c>
      <c r="C312" s="74"/>
      <c r="D312" s="75"/>
      <c r="E312" s="69" t="s">
        <v>61</v>
      </c>
      <c r="F312" s="70" t="s">
        <v>14</v>
      </c>
      <c r="G312" s="71">
        <v>51</v>
      </c>
      <c r="H312" s="72">
        <f>H311</f>
        <v>0</v>
      </c>
      <c r="I312" s="168">
        <f>ROUND($G312*H312,2)</f>
        <v>0</v>
      </c>
    </row>
    <row r="313" spans="2:9" ht="22.8">
      <c r="B313" s="25" t="s">
        <v>70</v>
      </c>
      <c r="C313" s="76"/>
      <c r="D313" s="76"/>
      <c r="E313" s="77" t="s">
        <v>62</v>
      </c>
      <c r="F313" s="70" t="s">
        <v>5</v>
      </c>
      <c r="G313" s="71">
        <v>21.5</v>
      </c>
      <c r="H313" s="72">
        <f>H310</f>
        <v>0</v>
      </c>
      <c r="I313" s="168">
        <f>ROUND($G313*H313,2)</f>
        <v>0</v>
      </c>
    </row>
    <row r="314" spans="2:9" ht="13.2">
      <c r="B314" s="78"/>
      <c r="C314" s="79"/>
      <c r="D314" s="80"/>
      <c r="E314" s="81" t="s">
        <v>16</v>
      </c>
      <c r="F314" s="82" t="s">
        <v>34</v>
      </c>
      <c r="G314" s="15"/>
      <c r="H314" s="169"/>
      <c r="I314" s="117" t="s">
        <v>12</v>
      </c>
    </row>
    <row r="315" spans="2:9" ht="13.2">
      <c r="B315" s="49" t="s">
        <v>71</v>
      </c>
      <c r="C315" s="50" t="s">
        <v>38</v>
      </c>
      <c r="D315" s="51"/>
      <c r="E315" s="52" t="s">
        <v>17</v>
      </c>
      <c r="F315" s="53"/>
      <c r="G315" s="84"/>
      <c r="H315" s="112"/>
      <c r="I315" s="56"/>
    </row>
    <row r="316" spans="2:9" ht="24">
      <c r="B316" s="49"/>
      <c r="C316" s="57"/>
      <c r="D316" s="58"/>
      <c r="E316" s="85" t="s">
        <v>63</v>
      </c>
      <c r="F316" s="3"/>
      <c r="G316" s="10"/>
      <c r="H316" s="30"/>
      <c r="I316" s="24"/>
    </row>
    <row r="317" spans="2:9" ht="13.2">
      <c r="B317" s="49" t="s">
        <v>72</v>
      </c>
      <c r="C317" s="87" t="s">
        <v>39</v>
      </c>
      <c r="D317" s="88"/>
      <c r="E317" s="89" t="s">
        <v>18</v>
      </c>
      <c r="F317" s="90" t="s">
        <v>12</v>
      </c>
      <c r="G317" s="91" t="s">
        <v>12</v>
      </c>
      <c r="H317" s="92"/>
      <c r="I317" s="93" t="s">
        <v>12</v>
      </c>
    </row>
    <row r="318" spans="2:9" ht="45.6">
      <c r="B318" s="25" t="s">
        <v>73</v>
      </c>
      <c r="C318" s="94"/>
      <c r="D318" s="95"/>
      <c r="E318" s="96" t="s">
        <v>19</v>
      </c>
      <c r="F318" s="90" t="s">
        <v>20</v>
      </c>
      <c r="G318" s="71">
        <f>152.3*15</f>
        <v>2284.5</v>
      </c>
      <c r="H318" s="72">
        <f>H295</f>
        <v>0</v>
      </c>
      <c r="I318" s="168">
        <f>ROUND($G318*H318,2)</f>
        <v>0</v>
      </c>
    </row>
    <row r="319" spans="2:9" ht="13.2">
      <c r="B319" s="49" t="s">
        <v>74</v>
      </c>
      <c r="C319" s="87" t="s">
        <v>40</v>
      </c>
      <c r="D319" s="88"/>
      <c r="E319" s="97" t="s">
        <v>22</v>
      </c>
      <c r="F319" s="90" t="s">
        <v>12</v>
      </c>
      <c r="G319" s="91" t="s">
        <v>12</v>
      </c>
      <c r="H319" s="92"/>
      <c r="I319" s="93" t="s">
        <v>12</v>
      </c>
    </row>
    <row r="320" spans="2:9" ht="34.200000000000003">
      <c r="B320" s="25" t="s">
        <v>75</v>
      </c>
      <c r="C320" s="98"/>
      <c r="D320" s="99"/>
      <c r="E320" s="100" t="s">
        <v>141</v>
      </c>
      <c r="F320" s="90" t="s">
        <v>20</v>
      </c>
      <c r="G320" s="71">
        <f>59.8*15</f>
        <v>897</v>
      </c>
      <c r="H320" s="72">
        <f>H297</f>
        <v>0</v>
      </c>
      <c r="I320" s="168">
        <f>ROUND($G320*H320,2)</f>
        <v>0</v>
      </c>
    </row>
    <row r="321" spans="2:9" ht="34.200000000000003">
      <c r="B321" s="25" t="s">
        <v>76</v>
      </c>
      <c r="C321" s="101"/>
      <c r="D321" s="102"/>
      <c r="E321" s="100" t="s">
        <v>24</v>
      </c>
      <c r="F321" s="90" t="s">
        <v>20</v>
      </c>
      <c r="G321" s="71">
        <f>48.8*15</f>
        <v>732</v>
      </c>
      <c r="H321" s="72">
        <f>H320</f>
        <v>0</v>
      </c>
      <c r="I321" s="168">
        <f>ROUND($G321*H321,2)</f>
        <v>0</v>
      </c>
    </row>
    <row r="322" spans="2:9" ht="22.8">
      <c r="B322" s="25" t="s">
        <v>77</v>
      </c>
      <c r="C322" s="101"/>
      <c r="D322" s="102"/>
      <c r="E322" s="100" t="s">
        <v>33</v>
      </c>
      <c r="F322" s="90" t="s">
        <v>20</v>
      </c>
      <c r="G322" s="71">
        <f>0.5*2.05*3.25*4.7+0.5*1.6*2.35*6.1+1/3*3.14*1.6*(2.2*2.2+2.2*4.6+4.6*4.6)/4+0.5*3.95*6*4.7+1/3*3.14*2.7*(1*1+1*5.1*5.1)/4+1/3*3.14*3*(0.5*0.5+0.5*5.1+5.1*5.1)/4+0.5*1.6*3.5*5.5+1/3*3.14*3.7*(0.5*0.5+0.5*6.1+6.1*6.1)/4</f>
        <v>194.26</v>
      </c>
      <c r="H322" s="72">
        <f>H321</f>
        <v>0</v>
      </c>
      <c r="I322" s="168">
        <f>ROUND($G322*H322,2)</f>
        <v>0</v>
      </c>
    </row>
    <row r="323" spans="2:9" ht="22.8">
      <c r="B323" s="25" t="s">
        <v>78</v>
      </c>
      <c r="C323" s="94"/>
      <c r="D323" s="94"/>
      <c r="E323" s="103" t="s">
        <v>239</v>
      </c>
      <c r="F323" s="90" t="s">
        <v>15</v>
      </c>
      <c r="G323" s="71">
        <f>(4.25+2*3.5)*15.25*2</f>
        <v>343.13</v>
      </c>
      <c r="H323" s="72">
        <f>H302</f>
        <v>0</v>
      </c>
      <c r="I323" s="168">
        <f>ROUND($G323*H323,2)</f>
        <v>0</v>
      </c>
    </row>
    <row r="324" spans="2:9" ht="13.8">
      <c r="B324" s="49"/>
      <c r="C324" s="359" t="s">
        <v>81</v>
      </c>
      <c r="D324" s="360"/>
      <c r="E324" s="361"/>
      <c r="F324" s="105"/>
      <c r="G324" s="106"/>
      <c r="H324" s="29" t="s">
        <v>12</v>
      </c>
      <c r="I324" s="108">
        <f>SUM(I310:I323)</f>
        <v>0</v>
      </c>
    </row>
    <row r="325" spans="2:9" ht="26.4">
      <c r="B325" s="41" t="s">
        <v>41</v>
      </c>
      <c r="C325" s="356" t="s">
        <v>44</v>
      </c>
      <c r="D325" s="357"/>
      <c r="E325" s="357"/>
      <c r="F325" s="357"/>
      <c r="G325" s="357"/>
      <c r="H325" s="357"/>
      <c r="I325" s="358"/>
    </row>
    <row r="326" spans="2:9" ht="26.4">
      <c r="B326" s="127" t="s">
        <v>83</v>
      </c>
      <c r="C326" s="340" t="s">
        <v>142</v>
      </c>
      <c r="D326" s="341"/>
      <c r="E326" s="342"/>
      <c r="F326" s="342"/>
      <c r="G326" s="342"/>
      <c r="H326" s="342"/>
      <c r="I326" s="343"/>
    </row>
    <row r="327" spans="2:9" ht="24">
      <c r="B327" s="43" t="s">
        <v>0</v>
      </c>
      <c r="C327" s="44" t="s">
        <v>45</v>
      </c>
      <c r="D327" s="128" t="s">
        <v>82</v>
      </c>
      <c r="E327" s="115" t="s">
        <v>42</v>
      </c>
      <c r="F327" s="126" t="s">
        <v>43</v>
      </c>
      <c r="G327" s="45" t="s">
        <v>1</v>
      </c>
      <c r="H327" s="46" t="s">
        <v>29</v>
      </c>
      <c r="I327" s="47" t="s">
        <v>30</v>
      </c>
    </row>
    <row r="328" spans="2:9" ht="13.2">
      <c r="B328" s="49" t="s">
        <v>65</v>
      </c>
      <c r="C328" s="50" t="s">
        <v>36</v>
      </c>
      <c r="D328" s="51"/>
      <c r="E328" s="52" t="s">
        <v>13</v>
      </c>
      <c r="F328" s="53"/>
      <c r="G328" s="148"/>
      <c r="H328" s="55"/>
      <c r="I328" s="56"/>
    </row>
    <row r="329" spans="2:9" ht="13.2">
      <c r="B329" s="49"/>
      <c r="C329" s="57"/>
      <c r="D329" s="58"/>
      <c r="E329" s="2" t="s">
        <v>2</v>
      </c>
      <c r="F329" s="3"/>
      <c r="G329" s="149"/>
      <c r="H329" s="59"/>
      <c r="I329" s="11"/>
    </row>
    <row r="330" spans="2:9" ht="12">
      <c r="B330" s="49" t="s">
        <v>66</v>
      </c>
      <c r="C330" s="60" t="s">
        <v>37</v>
      </c>
      <c r="D330" s="61"/>
      <c r="E330" s="62" t="s">
        <v>64</v>
      </c>
      <c r="F330" s="63" t="s">
        <v>12</v>
      </c>
      <c r="G330" s="64" t="s">
        <v>12</v>
      </c>
      <c r="H330" s="109" t="s">
        <v>12</v>
      </c>
      <c r="I330" s="66" t="s">
        <v>12</v>
      </c>
    </row>
    <row r="331" spans="2:9" ht="13.2">
      <c r="B331" s="25" t="s">
        <v>67</v>
      </c>
      <c r="C331" s="67"/>
      <c r="D331" s="68"/>
      <c r="E331" s="69" t="s">
        <v>35</v>
      </c>
      <c r="F331" s="70" t="s">
        <v>15</v>
      </c>
      <c r="G331" s="150">
        <v>160</v>
      </c>
      <c r="H331" s="72">
        <f>H310</f>
        <v>0</v>
      </c>
      <c r="I331" s="73">
        <f>ROUND($G331*H331,2)</f>
        <v>0</v>
      </c>
    </row>
    <row r="332" spans="2:9" ht="13.2">
      <c r="B332" s="25" t="s">
        <v>68</v>
      </c>
      <c r="C332" s="74"/>
      <c r="D332" s="75"/>
      <c r="E332" s="69" t="s">
        <v>60</v>
      </c>
      <c r="F332" s="70" t="s">
        <v>14</v>
      </c>
      <c r="G332" s="150">
        <v>635</v>
      </c>
      <c r="H332" s="72">
        <f>H311</f>
        <v>0</v>
      </c>
      <c r="I332" s="73">
        <f>ROUND($G332*H332,2)</f>
        <v>0</v>
      </c>
    </row>
    <row r="333" spans="2:9" ht="13.2">
      <c r="B333" s="25" t="s">
        <v>69</v>
      </c>
      <c r="C333" s="74"/>
      <c r="D333" s="75"/>
      <c r="E333" s="69" t="s">
        <v>61</v>
      </c>
      <c r="F333" s="70" t="s">
        <v>14</v>
      </c>
      <c r="G333" s="150">
        <v>14</v>
      </c>
      <c r="H333" s="72">
        <f>H332</f>
        <v>0</v>
      </c>
      <c r="I333" s="73">
        <f>ROUND($G333*H333,2)</f>
        <v>0</v>
      </c>
    </row>
    <row r="334" spans="2:9" ht="22.8">
      <c r="B334" s="25" t="s">
        <v>70</v>
      </c>
      <c r="C334" s="76"/>
      <c r="D334" s="76"/>
      <c r="E334" s="77" t="s">
        <v>62</v>
      </c>
      <c r="F334" s="70" t="s">
        <v>5</v>
      </c>
      <c r="G334" s="150">
        <v>39.200000000000003</v>
      </c>
      <c r="H334" s="72">
        <f>H331</f>
        <v>0</v>
      </c>
      <c r="I334" s="73">
        <f>ROUND($G334*H334,2)</f>
        <v>0</v>
      </c>
    </row>
    <row r="335" spans="2:9" ht="13.2">
      <c r="B335" s="78"/>
      <c r="C335" s="79"/>
      <c r="D335" s="80"/>
      <c r="E335" s="81" t="s">
        <v>16</v>
      </c>
      <c r="F335" s="82" t="s">
        <v>34</v>
      </c>
      <c r="G335" s="153"/>
      <c r="H335" s="116"/>
      <c r="I335" s="117" t="s">
        <v>12</v>
      </c>
    </row>
    <row r="336" spans="2:9" ht="13.2">
      <c r="B336" s="49" t="s">
        <v>71</v>
      </c>
      <c r="C336" s="50" t="s">
        <v>38</v>
      </c>
      <c r="D336" s="51"/>
      <c r="E336" s="52" t="s">
        <v>17</v>
      </c>
      <c r="F336" s="53"/>
      <c r="G336" s="154"/>
      <c r="H336" s="112"/>
      <c r="I336" s="56"/>
    </row>
    <row r="337" spans="2:9" ht="24">
      <c r="B337" s="49"/>
      <c r="C337" s="57"/>
      <c r="D337" s="58"/>
      <c r="E337" s="85" t="s">
        <v>63</v>
      </c>
      <c r="F337" s="3"/>
      <c r="G337" s="155"/>
      <c r="H337" s="30"/>
      <c r="I337" s="24"/>
    </row>
    <row r="338" spans="2:9" ht="13.2">
      <c r="B338" s="49" t="s">
        <v>72</v>
      </c>
      <c r="C338" s="87" t="s">
        <v>39</v>
      </c>
      <c r="D338" s="88"/>
      <c r="E338" s="89" t="s">
        <v>18</v>
      </c>
      <c r="F338" s="90" t="s">
        <v>12</v>
      </c>
      <c r="G338" s="91" t="s">
        <v>12</v>
      </c>
      <c r="H338" s="92"/>
      <c r="I338" s="93" t="s">
        <v>12</v>
      </c>
    </row>
    <row r="339" spans="2:9" ht="45.6">
      <c r="B339" s="25" t="s">
        <v>73</v>
      </c>
      <c r="C339" s="94"/>
      <c r="D339" s="95"/>
      <c r="E339" s="96" t="s">
        <v>19</v>
      </c>
      <c r="F339" s="90" t="s">
        <v>20</v>
      </c>
      <c r="G339" s="150">
        <f>151.5*16</f>
        <v>2424</v>
      </c>
      <c r="H339" s="72">
        <f>H318</f>
        <v>0</v>
      </c>
      <c r="I339" s="73">
        <f>ROUND($G339*H339,2)</f>
        <v>0</v>
      </c>
    </row>
    <row r="340" spans="2:9" ht="13.2">
      <c r="B340" s="49" t="s">
        <v>74</v>
      </c>
      <c r="C340" s="87" t="s">
        <v>40</v>
      </c>
      <c r="D340" s="88"/>
      <c r="E340" s="97" t="s">
        <v>22</v>
      </c>
      <c r="F340" s="90" t="s">
        <v>12</v>
      </c>
      <c r="G340" s="91" t="s">
        <v>12</v>
      </c>
      <c r="H340" s="92"/>
      <c r="I340" s="93" t="s">
        <v>12</v>
      </c>
    </row>
    <row r="341" spans="2:9" ht="34.200000000000003">
      <c r="B341" s="25" t="s">
        <v>75</v>
      </c>
      <c r="C341" s="98"/>
      <c r="D341" s="99"/>
      <c r="E341" s="100" t="s">
        <v>32</v>
      </c>
      <c r="F341" s="90" t="s">
        <v>20</v>
      </c>
      <c r="G341" s="150">
        <f>46.5*16</f>
        <v>744</v>
      </c>
      <c r="H341" s="72">
        <f>H320</f>
        <v>0</v>
      </c>
      <c r="I341" s="73">
        <f>ROUND($G341*H341,2)</f>
        <v>0</v>
      </c>
    </row>
    <row r="342" spans="2:9" ht="34.200000000000003">
      <c r="B342" s="25" t="s">
        <v>76</v>
      </c>
      <c r="C342" s="101"/>
      <c r="D342" s="102"/>
      <c r="E342" s="100" t="s">
        <v>24</v>
      </c>
      <c r="F342" s="90" t="s">
        <v>20</v>
      </c>
      <c r="G342" s="150">
        <f>77.4*16</f>
        <v>1238.4000000000001</v>
      </c>
      <c r="H342" s="72">
        <f>H341</f>
        <v>0</v>
      </c>
      <c r="I342" s="73">
        <f>ROUND($G342*H342,2)</f>
        <v>0</v>
      </c>
    </row>
    <row r="343" spans="2:9" ht="22.8">
      <c r="B343" s="25" t="s">
        <v>77</v>
      </c>
      <c r="C343" s="101"/>
      <c r="D343" s="102"/>
      <c r="E343" s="100" t="s">
        <v>33</v>
      </c>
      <c r="F343" s="90" t="s">
        <v>20</v>
      </c>
      <c r="G343" s="150">
        <f>0.5*5.75*8.6*7.8+0.5*4.7*7.25*8+0.5*5.7*8.55*7.4+0.5*4.5*6.8*7.7</f>
        <v>627.28</v>
      </c>
      <c r="H343" s="72">
        <f>H342</f>
        <v>0</v>
      </c>
      <c r="I343" s="73">
        <f>ROUND($G343*H343,2)</f>
        <v>0</v>
      </c>
    </row>
    <row r="344" spans="2:9" ht="22.8">
      <c r="B344" s="25" t="s">
        <v>78</v>
      </c>
      <c r="C344" s="94"/>
      <c r="D344" s="94"/>
      <c r="E344" s="103" t="s">
        <v>239</v>
      </c>
      <c r="F344" s="90" t="s">
        <v>15</v>
      </c>
      <c r="G344" s="150">
        <f>(4.25+2*3.5)*16.3*2</f>
        <v>366.75</v>
      </c>
      <c r="H344" s="72">
        <f>H323</f>
        <v>0</v>
      </c>
      <c r="I344" s="73">
        <f>ROUND($G344*H344,2)</f>
        <v>0</v>
      </c>
    </row>
    <row r="345" spans="2:9" ht="13.8">
      <c r="B345" s="49"/>
      <c r="C345" s="359" t="s">
        <v>81</v>
      </c>
      <c r="D345" s="360"/>
      <c r="E345" s="361"/>
      <c r="F345" s="105"/>
      <c r="G345" s="106"/>
      <c r="H345" s="29" t="s">
        <v>12</v>
      </c>
      <c r="I345" s="108">
        <f>SUM(I331:I344)</f>
        <v>0</v>
      </c>
    </row>
    <row r="346" spans="2:9" ht="26.4">
      <c r="B346" s="41" t="s">
        <v>41</v>
      </c>
      <c r="C346" s="356" t="s">
        <v>44</v>
      </c>
      <c r="D346" s="357"/>
      <c r="E346" s="357"/>
      <c r="F346" s="357"/>
      <c r="G346" s="357"/>
      <c r="H346" s="357"/>
      <c r="I346" s="358"/>
    </row>
    <row r="347" spans="2:9" ht="26.4">
      <c r="B347" s="127" t="s">
        <v>83</v>
      </c>
      <c r="C347" s="340" t="s">
        <v>143</v>
      </c>
      <c r="D347" s="341"/>
      <c r="E347" s="342"/>
      <c r="F347" s="342"/>
      <c r="G347" s="342"/>
      <c r="H347" s="342"/>
      <c r="I347" s="343"/>
    </row>
    <row r="348" spans="2:9" ht="24">
      <c r="B348" s="43" t="s">
        <v>0</v>
      </c>
      <c r="C348" s="44" t="s">
        <v>45</v>
      </c>
      <c r="D348" s="128" t="s">
        <v>82</v>
      </c>
      <c r="E348" s="115" t="s">
        <v>42</v>
      </c>
      <c r="F348" s="126" t="s">
        <v>43</v>
      </c>
      <c r="G348" s="45" t="s">
        <v>1</v>
      </c>
      <c r="H348" s="46" t="s">
        <v>29</v>
      </c>
      <c r="I348" s="47" t="s">
        <v>30</v>
      </c>
    </row>
    <row r="349" spans="2:9" ht="13.2">
      <c r="B349" s="49" t="s">
        <v>65</v>
      </c>
      <c r="C349" s="50" t="s">
        <v>36</v>
      </c>
      <c r="D349" s="51"/>
      <c r="E349" s="52" t="s">
        <v>13</v>
      </c>
      <c r="F349" s="53"/>
      <c r="G349" s="54"/>
      <c r="H349" s="55"/>
      <c r="I349" s="56"/>
    </row>
    <row r="350" spans="2:9" ht="13.2">
      <c r="B350" s="49"/>
      <c r="C350" s="57"/>
      <c r="D350" s="58"/>
      <c r="E350" s="2" t="s">
        <v>2</v>
      </c>
      <c r="F350" s="3"/>
      <c r="G350" s="31"/>
      <c r="H350" s="59"/>
      <c r="I350" s="11"/>
    </row>
    <row r="351" spans="2:9" ht="12">
      <c r="B351" s="49" t="s">
        <v>66</v>
      </c>
      <c r="C351" s="60" t="s">
        <v>37</v>
      </c>
      <c r="D351" s="61"/>
      <c r="E351" s="62" t="s">
        <v>64</v>
      </c>
      <c r="F351" s="63" t="s">
        <v>12</v>
      </c>
      <c r="G351" s="64" t="s">
        <v>12</v>
      </c>
      <c r="H351" s="109" t="s">
        <v>12</v>
      </c>
      <c r="I351" s="66" t="s">
        <v>12</v>
      </c>
    </row>
    <row r="352" spans="2:9" ht="13.2">
      <c r="B352" s="25" t="s">
        <v>67</v>
      </c>
      <c r="C352" s="67"/>
      <c r="D352" s="68"/>
      <c r="E352" s="69" t="s">
        <v>35</v>
      </c>
      <c r="F352" s="70" t="s">
        <v>15</v>
      </c>
      <c r="G352" s="71">
        <v>135</v>
      </c>
      <c r="H352" s="175">
        <f>H331</f>
        <v>0</v>
      </c>
      <c r="I352" s="176">
        <f>ROUND($G352*H352,2)</f>
        <v>0</v>
      </c>
    </row>
    <row r="353" spans="2:9" ht="13.2">
      <c r="B353" s="25" t="s">
        <v>68</v>
      </c>
      <c r="C353" s="177"/>
      <c r="D353" s="178"/>
      <c r="E353" s="69" t="s">
        <v>60</v>
      </c>
      <c r="F353" s="70" t="s">
        <v>14</v>
      </c>
      <c r="G353" s="71">
        <v>52</v>
      </c>
      <c r="H353" s="175">
        <f>H332</f>
        <v>0</v>
      </c>
      <c r="I353" s="176">
        <f>ROUND($G353*H353,2)</f>
        <v>0</v>
      </c>
    </row>
    <row r="354" spans="2:9" ht="13.2">
      <c r="B354" s="78"/>
      <c r="C354" s="79"/>
      <c r="D354" s="80"/>
      <c r="E354" s="81" t="s">
        <v>16</v>
      </c>
      <c r="F354" s="82" t="s">
        <v>34</v>
      </c>
      <c r="G354" s="15"/>
      <c r="H354" s="179"/>
      <c r="I354" s="180" t="s">
        <v>12</v>
      </c>
    </row>
    <row r="355" spans="2:9" ht="13.2">
      <c r="B355" s="49" t="s">
        <v>71</v>
      </c>
      <c r="C355" s="50" t="s">
        <v>38</v>
      </c>
      <c r="D355" s="51"/>
      <c r="E355" s="52" t="s">
        <v>17</v>
      </c>
      <c r="F355" s="53"/>
      <c r="G355" s="54"/>
      <c r="H355" s="181"/>
      <c r="I355" s="182"/>
    </row>
    <row r="356" spans="2:9" ht="24">
      <c r="B356" s="49"/>
      <c r="C356" s="57"/>
      <c r="D356" s="58"/>
      <c r="E356" s="85" t="s">
        <v>63</v>
      </c>
      <c r="F356" s="3"/>
      <c r="G356" s="31"/>
      <c r="H356" s="183"/>
      <c r="I356" s="183"/>
    </row>
    <row r="357" spans="2:9" ht="13.2">
      <c r="B357" s="49" t="s">
        <v>72</v>
      </c>
      <c r="C357" s="87" t="s">
        <v>39</v>
      </c>
      <c r="D357" s="88"/>
      <c r="E357" s="89" t="s">
        <v>18</v>
      </c>
      <c r="F357" s="90" t="s">
        <v>12</v>
      </c>
      <c r="G357" s="91" t="s">
        <v>12</v>
      </c>
      <c r="H357" s="184"/>
      <c r="I357" s="185" t="s">
        <v>12</v>
      </c>
    </row>
    <row r="358" spans="2:9" ht="45.6">
      <c r="B358" s="25" t="s">
        <v>73</v>
      </c>
      <c r="C358" s="94"/>
      <c r="D358" s="95"/>
      <c r="E358" s="96" t="s">
        <v>19</v>
      </c>
      <c r="F358" s="90" t="s">
        <v>20</v>
      </c>
      <c r="G358" s="71">
        <v>375</v>
      </c>
      <c r="H358" s="175">
        <f>H339</f>
        <v>0</v>
      </c>
      <c r="I358" s="176">
        <f>ROUND($G358*H358,2)</f>
        <v>0</v>
      </c>
    </row>
    <row r="359" spans="2:9" ht="13.2">
      <c r="B359" s="49" t="s">
        <v>74</v>
      </c>
      <c r="C359" s="87" t="s">
        <v>40</v>
      </c>
      <c r="D359" s="88"/>
      <c r="E359" s="97" t="s">
        <v>22</v>
      </c>
      <c r="F359" s="90" t="s">
        <v>12</v>
      </c>
      <c r="G359" s="91" t="s">
        <v>12</v>
      </c>
      <c r="H359" s="184"/>
      <c r="I359" s="185" t="s">
        <v>12</v>
      </c>
    </row>
    <row r="360" spans="2:9" ht="34.200000000000003">
      <c r="B360" s="25" t="s">
        <v>75</v>
      </c>
      <c r="C360" s="98"/>
      <c r="D360" s="99"/>
      <c r="E360" s="100" t="s">
        <v>32</v>
      </c>
      <c r="F360" s="90" t="s">
        <v>20</v>
      </c>
      <c r="G360" s="71">
        <v>65</v>
      </c>
      <c r="H360" s="175">
        <f>H342</f>
        <v>0</v>
      </c>
      <c r="I360" s="176">
        <f>ROUND($G360*H360,2)</f>
        <v>0</v>
      </c>
    </row>
    <row r="361" spans="2:9" ht="22.8">
      <c r="B361" s="25" t="s">
        <v>76</v>
      </c>
      <c r="C361" s="113"/>
      <c r="D361" s="113"/>
      <c r="E361" s="103" t="s">
        <v>96</v>
      </c>
      <c r="F361" s="90" t="s">
        <v>20</v>
      </c>
      <c r="G361" s="71">
        <v>305</v>
      </c>
      <c r="H361" s="175">
        <f>H360</f>
        <v>0</v>
      </c>
      <c r="I361" s="176">
        <f>ROUND($G361*H361,2)</f>
        <v>0</v>
      </c>
    </row>
    <row r="362" spans="2:9" ht="13.8">
      <c r="B362" s="49"/>
      <c r="C362" s="359" t="s">
        <v>81</v>
      </c>
      <c r="D362" s="360"/>
      <c r="E362" s="361"/>
      <c r="F362" s="105"/>
      <c r="G362" s="106"/>
      <c r="H362" s="29" t="s">
        <v>12</v>
      </c>
      <c r="I362" s="108">
        <f>SUM(I352:I361)</f>
        <v>0</v>
      </c>
    </row>
    <row r="363" spans="2:9" ht="26.4">
      <c r="B363" s="41" t="s">
        <v>41</v>
      </c>
      <c r="C363" s="356" t="s">
        <v>44</v>
      </c>
      <c r="D363" s="357"/>
      <c r="E363" s="357"/>
      <c r="F363" s="357"/>
      <c r="G363" s="357"/>
      <c r="H363" s="357"/>
      <c r="I363" s="358"/>
    </row>
    <row r="364" spans="2:9" ht="26.4">
      <c r="B364" s="127" t="s">
        <v>83</v>
      </c>
      <c r="C364" s="340" t="s">
        <v>144</v>
      </c>
      <c r="D364" s="341"/>
      <c r="E364" s="342"/>
      <c r="F364" s="342"/>
      <c r="G364" s="342"/>
      <c r="H364" s="342"/>
      <c r="I364" s="343"/>
    </row>
    <row r="365" spans="2:9" ht="24">
      <c r="B365" s="43" t="s">
        <v>0</v>
      </c>
      <c r="C365" s="44" t="s">
        <v>45</v>
      </c>
      <c r="D365" s="128" t="s">
        <v>82</v>
      </c>
      <c r="E365" s="115" t="s">
        <v>42</v>
      </c>
      <c r="F365" s="126" t="s">
        <v>43</v>
      </c>
      <c r="G365" s="45" t="s">
        <v>1</v>
      </c>
      <c r="H365" s="46" t="s">
        <v>29</v>
      </c>
      <c r="I365" s="47" t="s">
        <v>30</v>
      </c>
    </row>
    <row r="366" spans="2:9" ht="13.2">
      <c r="B366" s="49" t="s">
        <v>65</v>
      </c>
      <c r="C366" s="50" t="s">
        <v>36</v>
      </c>
      <c r="D366" s="51"/>
      <c r="E366" s="52" t="s">
        <v>13</v>
      </c>
      <c r="F366" s="53"/>
      <c r="G366" s="54"/>
      <c r="H366" s="55"/>
      <c r="I366" s="56"/>
    </row>
    <row r="367" spans="2:9" ht="13.2">
      <c r="B367" s="49"/>
      <c r="C367" s="57"/>
      <c r="D367" s="58"/>
      <c r="E367" s="2" t="s">
        <v>2</v>
      </c>
      <c r="F367" s="3"/>
      <c r="G367" s="31"/>
      <c r="H367" s="59"/>
      <c r="I367" s="11"/>
    </row>
    <row r="368" spans="2:9" ht="12">
      <c r="B368" s="49" t="s">
        <v>66</v>
      </c>
      <c r="C368" s="60" t="s">
        <v>37</v>
      </c>
      <c r="D368" s="61"/>
      <c r="E368" s="62" t="s">
        <v>64</v>
      </c>
      <c r="F368" s="63" t="s">
        <v>12</v>
      </c>
      <c r="G368" s="64" t="s">
        <v>12</v>
      </c>
      <c r="H368" s="109" t="s">
        <v>12</v>
      </c>
      <c r="I368" s="66" t="s">
        <v>12</v>
      </c>
    </row>
    <row r="369" spans="2:9" ht="13.2">
      <c r="B369" s="25" t="s">
        <v>67</v>
      </c>
      <c r="C369" s="67"/>
      <c r="D369" s="68"/>
      <c r="E369" s="69" t="s">
        <v>35</v>
      </c>
      <c r="F369" s="70" t="s">
        <v>15</v>
      </c>
      <c r="G369" s="71">
        <v>160</v>
      </c>
      <c r="H369" s="72">
        <f>H352</f>
        <v>0</v>
      </c>
      <c r="I369" s="73">
        <f>ROUND($G369*H369,2)</f>
        <v>0</v>
      </c>
    </row>
    <row r="370" spans="2:9" ht="13.2">
      <c r="B370" s="25" t="s">
        <v>68</v>
      </c>
      <c r="C370" s="74"/>
      <c r="D370" s="75"/>
      <c r="E370" s="69" t="s">
        <v>60</v>
      </c>
      <c r="F370" s="70" t="s">
        <v>14</v>
      </c>
      <c r="G370" s="71">
        <v>695</v>
      </c>
      <c r="H370" s="72">
        <f>H353</f>
        <v>0</v>
      </c>
      <c r="I370" s="73">
        <f>ROUND($G370*H370,2)</f>
        <v>0</v>
      </c>
    </row>
    <row r="371" spans="2:9" ht="13.2">
      <c r="B371" s="25" t="s">
        <v>69</v>
      </c>
      <c r="C371" s="74"/>
      <c r="D371" s="75"/>
      <c r="E371" s="69" t="s">
        <v>61</v>
      </c>
      <c r="F371" s="70" t="s">
        <v>14</v>
      </c>
      <c r="G371" s="71">
        <v>24.5</v>
      </c>
      <c r="H371" s="72">
        <f>H370</f>
        <v>0</v>
      </c>
      <c r="I371" s="73">
        <f>ROUND($G371*H371,2)</f>
        <v>0</v>
      </c>
    </row>
    <row r="372" spans="2:9" ht="13.2">
      <c r="B372" s="25" t="s">
        <v>70</v>
      </c>
      <c r="C372" s="110"/>
      <c r="D372" s="110"/>
      <c r="E372" s="77" t="s">
        <v>90</v>
      </c>
      <c r="F372" s="70" t="s">
        <v>91</v>
      </c>
      <c r="G372" s="71">
        <v>6</v>
      </c>
      <c r="H372" s="72">
        <f>H184</f>
        <v>0</v>
      </c>
      <c r="I372" s="73">
        <f>ROUND($G372*H372,2)</f>
        <v>0</v>
      </c>
    </row>
    <row r="373" spans="2:9" ht="22.8">
      <c r="B373" s="25" t="s">
        <v>94</v>
      </c>
      <c r="C373" s="76"/>
      <c r="D373" s="76"/>
      <c r="E373" s="77" t="s">
        <v>62</v>
      </c>
      <c r="F373" s="70" t="s">
        <v>5</v>
      </c>
      <c r="G373" s="71">
        <v>18.8</v>
      </c>
      <c r="H373" s="72">
        <f>H369</f>
        <v>0</v>
      </c>
      <c r="I373" s="73">
        <f>ROUND($G373*H373,2)</f>
        <v>0</v>
      </c>
    </row>
    <row r="374" spans="2:9" ht="13.2">
      <c r="B374" s="78"/>
      <c r="C374" s="79"/>
      <c r="D374" s="80"/>
      <c r="E374" s="81" t="s">
        <v>16</v>
      </c>
      <c r="F374" s="82" t="s">
        <v>34</v>
      </c>
      <c r="G374" s="15"/>
      <c r="H374" s="116"/>
      <c r="I374" s="117" t="s">
        <v>12</v>
      </c>
    </row>
    <row r="375" spans="2:9" ht="13.2">
      <c r="B375" s="49" t="s">
        <v>71</v>
      </c>
      <c r="C375" s="50" t="s">
        <v>38</v>
      </c>
      <c r="D375" s="51"/>
      <c r="E375" s="52" t="s">
        <v>17</v>
      </c>
      <c r="F375" s="53"/>
      <c r="G375" s="54"/>
      <c r="H375" s="112"/>
      <c r="I375" s="56"/>
    </row>
    <row r="376" spans="2:9" ht="24">
      <c r="B376" s="49"/>
      <c r="C376" s="57"/>
      <c r="D376" s="58"/>
      <c r="E376" s="85" t="s">
        <v>63</v>
      </c>
      <c r="F376" s="3"/>
      <c r="G376" s="31"/>
      <c r="H376" s="30"/>
      <c r="I376" s="24"/>
    </row>
    <row r="377" spans="2:9" ht="13.2">
      <c r="B377" s="49" t="s">
        <v>72</v>
      </c>
      <c r="C377" s="87" t="s">
        <v>39</v>
      </c>
      <c r="D377" s="88"/>
      <c r="E377" s="89" t="s">
        <v>18</v>
      </c>
      <c r="F377" s="90" t="s">
        <v>12</v>
      </c>
      <c r="G377" s="91" t="s">
        <v>12</v>
      </c>
      <c r="H377" s="92"/>
      <c r="I377" s="93" t="s">
        <v>12</v>
      </c>
    </row>
    <row r="378" spans="2:9" ht="45.6">
      <c r="B378" s="25" t="s">
        <v>73</v>
      </c>
      <c r="C378" s="94"/>
      <c r="D378" s="95"/>
      <c r="E378" s="96" t="s">
        <v>19</v>
      </c>
      <c r="F378" s="90" t="s">
        <v>20</v>
      </c>
      <c r="G378" s="71">
        <v>5530</v>
      </c>
      <c r="H378" s="72">
        <f>H358</f>
        <v>0</v>
      </c>
      <c r="I378" s="73">
        <f>ROUND($G378*H378,2)</f>
        <v>0</v>
      </c>
    </row>
    <row r="379" spans="2:9" ht="13.2">
      <c r="B379" s="49" t="s">
        <v>74</v>
      </c>
      <c r="C379" s="87" t="s">
        <v>40</v>
      </c>
      <c r="D379" s="88"/>
      <c r="E379" s="97" t="s">
        <v>22</v>
      </c>
      <c r="F379" s="90" t="s">
        <v>12</v>
      </c>
      <c r="G379" s="91" t="s">
        <v>12</v>
      </c>
      <c r="H379" s="92"/>
      <c r="I379" s="93" t="s">
        <v>12</v>
      </c>
    </row>
    <row r="380" spans="2:9" ht="34.200000000000003">
      <c r="B380" s="25" t="s">
        <v>75</v>
      </c>
      <c r="C380" s="98"/>
      <c r="D380" s="99"/>
      <c r="E380" s="100" t="s">
        <v>32</v>
      </c>
      <c r="F380" s="90" t="s">
        <v>20</v>
      </c>
      <c r="G380" s="71">
        <v>430</v>
      </c>
      <c r="H380" s="72">
        <f>H360</f>
        <v>0</v>
      </c>
      <c r="I380" s="73">
        <f>ROUND($G380*H380,2)</f>
        <v>0</v>
      </c>
    </row>
    <row r="381" spans="2:9" ht="34.200000000000003">
      <c r="B381" s="25" t="s">
        <v>76</v>
      </c>
      <c r="C381" s="101"/>
      <c r="D381" s="102"/>
      <c r="E381" s="100" t="s">
        <v>24</v>
      </c>
      <c r="F381" s="90" t="s">
        <v>20</v>
      </c>
      <c r="G381" s="71">
        <v>3290</v>
      </c>
      <c r="H381" s="72">
        <f>H380</f>
        <v>0</v>
      </c>
      <c r="I381" s="73">
        <f>ROUND($G381*H381,2)</f>
        <v>0</v>
      </c>
    </row>
    <row r="382" spans="2:9" ht="22.8">
      <c r="B382" s="25" t="s">
        <v>77</v>
      </c>
      <c r="C382" s="101"/>
      <c r="D382" s="102"/>
      <c r="E382" s="100" t="s">
        <v>33</v>
      </c>
      <c r="F382" s="90" t="s">
        <v>20</v>
      </c>
      <c r="G382" s="71">
        <v>930</v>
      </c>
      <c r="H382" s="72">
        <f>H381</f>
        <v>0</v>
      </c>
      <c r="I382" s="73">
        <f>ROUND($G382*H382,2)</f>
        <v>0</v>
      </c>
    </row>
    <row r="383" spans="2:9" ht="22.8">
      <c r="B383" s="25" t="s">
        <v>95</v>
      </c>
      <c r="C383" s="113"/>
      <c r="D383" s="113"/>
      <c r="E383" s="103" t="s">
        <v>96</v>
      </c>
      <c r="F383" s="90" t="s">
        <v>20</v>
      </c>
      <c r="G383" s="71">
        <v>320</v>
      </c>
      <c r="H383" s="72">
        <f>H382</f>
        <v>0</v>
      </c>
      <c r="I383" s="73">
        <f>ROUND($G383*H383,2)</f>
        <v>0</v>
      </c>
    </row>
    <row r="384" spans="2:9" ht="22.8">
      <c r="B384" s="25" t="s">
        <v>78</v>
      </c>
      <c r="C384" s="94"/>
      <c r="D384" s="94"/>
      <c r="E384" s="103" t="s">
        <v>239</v>
      </c>
      <c r="F384" s="90" t="s">
        <v>15</v>
      </c>
      <c r="G384" s="71">
        <v>512</v>
      </c>
      <c r="H384" s="72">
        <f>H344</f>
        <v>0</v>
      </c>
      <c r="I384" s="73">
        <f>ROUND($G384*H384,2)</f>
        <v>0</v>
      </c>
    </row>
    <row r="385" spans="2:9" ht="13.8">
      <c r="B385" s="49"/>
      <c r="C385" s="359" t="s">
        <v>81</v>
      </c>
      <c r="D385" s="360"/>
      <c r="E385" s="361"/>
      <c r="F385" s="105"/>
      <c r="G385" s="106"/>
      <c r="H385" s="29" t="s">
        <v>12</v>
      </c>
      <c r="I385" s="114">
        <f>SUM(I369:I384)</f>
        <v>0</v>
      </c>
    </row>
    <row r="386" spans="2:9" ht="26.4">
      <c r="B386" s="41" t="s">
        <v>41</v>
      </c>
      <c r="C386" s="356" t="s">
        <v>44</v>
      </c>
      <c r="D386" s="357"/>
      <c r="E386" s="357"/>
      <c r="F386" s="357"/>
      <c r="G386" s="357"/>
      <c r="H386" s="357"/>
      <c r="I386" s="358"/>
    </row>
    <row r="387" spans="2:9" ht="26.4">
      <c r="B387" s="127" t="s">
        <v>83</v>
      </c>
      <c r="C387" s="340" t="s">
        <v>145</v>
      </c>
      <c r="D387" s="341"/>
      <c r="E387" s="342"/>
      <c r="F387" s="342"/>
      <c r="G387" s="342"/>
      <c r="H387" s="342"/>
      <c r="I387" s="343"/>
    </row>
    <row r="388" spans="2:9" ht="24">
      <c r="B388" s="43" t="s">
        <v>0</v>
      </c>
      <c r="C388" s="44" t="s">
        <v>45</v>
      </c>
      <c r="D388" s="128" t="s">
        <v>82</v>
      </c>
      <c r="E388" s="115" t="s">
        <v>42</v>
      </c>
      <c r="F388" s="126" t="s">
        <v>43</v>
      </c>
      <c r="G388" s="45" t="s">
        <v>1</v>
      </c>
      <c r="H388" s="46" t="s">
        <v>29</v>
      </c>
      <c r="I388" s="47" t="s">
        <v>30</v>
      </c>
    </row>
    <row r="389" spans="2:9" ht="13.2">
      <c r="B389" s="49" t="s">
        <v>65</v>
      </c>
      <c r="C389" s="50" t="s">
        <v>36</v>
      </c>
      <c r="D389" s="51"/>
      <c r="E389" s="52" t="s">
        <v>13</v>
      </c>
      <c r="F389" s="53"/>
      <c r="G389" s="54"/>
      <c r="H389" s="55"/>
      <c r="I389" s="56"/>
    </row>
    <row r="390" spans="2:9" ht="13.2">
      <c r="B390" s="49"/>
      <c r="C390" s="57"/>
      <c r="D390" s="58"/>
      <c r="E390" s="2" t="s">
        <v>2</v>
      </c>
      <c r="F390" s="3"/>
      <c r="G390" s="31"/>
      <c r="H390" s="59"/>
      <c r="I390" s="11"/>
    </row>
    <row r="391" spans="2:9" ht="12">
      <c r="B391" s="49" t="s">
        <v>66</v>
      </c>
      <c r="C391" s="60" t="s">
        <v>37</v>
      </c>
      <c r="D391" s="61"/>
      <c r="E391" s="62" t="s">
        <v>64</v>
      </c>
      <c r="F391" s="63" t="s">
        <v>12</v>
      </c>
      <c r="G391" s="64" t="s">
        <v>12</v>
      </c>
      <c r="H391" s="109" t="s">
        <v>12</v>
      </c>
      <c r="I391" s="66" t="s">
        <v>12</v>
      </c>
    </row>
    <row r="392" spans="2:9" ht="13.2">
      <c r="B392" s="25" t="s">
        <v>67</v>
      </c>
      <c r="C392" s="67"/>
      <c r="D392" s="68"/>
      <c r="E392" s="69" t="s">
        <v>35</v>
      </c>
      <c r="F392" s="70" t="s">
        <v>15</v>
      </c>
      <c r="G392" s="71">
        <v>410</v>
      </c>
      <c r="H392" s="72">
        <f>H369</f>
        <v>0</v>
      </c>
      <c r="I392" s="73">
        <f t="shared" ref="I392:I398" si="14">ROUND($G392*H392,2)</f>
        <v>0</v>
      </c>
    </row>
    <row r="393" spans="2:9" ht="13.2">
      <c r="B393" s="25" t="s">
        <v>68</v>
      </c>
      <c r="C393" s="74"/>
      <c r="D393" s="75"/>
      <c r="E393" s="69" t="s">
        <v>60</v>
      </c>
      <c r="F393" s="70" t="s">
        <v>14</v>
      </c>
      <c r="G393" s="71">
        <v>120</v>
      </c>
      <c r="H393" s="72">
        <f>H370</f>
        <v>0</v>
      </c>
      <c r="I393" s="73">
        <f t="shared" si="14"/>
        <v>0</v>
      </c>
    </row>
    <row r="394" spans="2:9" ht="13.2">
      <c r="B394" s="25" t="s">
        <v>69</v>
      </c>
      <c r="C394" s="74"/>
      <c r="D394" s="75"/>
      <c r="E394" s="69" t="s">
        <v>146</v>
      </c>
      <c r="F394" s="70" t="s">
        <v>14</v>
      </c>
      <c r="G394" s="71">
        <v>6</v>
      </c>
      <c r="H394" s="72">
        <f>H393</f>
        <v>0</v>
      </c>
      <c r="I394" s="73">
        <f t="shared" si="14"/>
        <v>0</v>
      </c>
    </row>
    <row r="395" spans="2:9" ht="13.2">
      <c r="B395" s="25" t="s">
        <v>70</v>
      </c>
      <c r="C395" s="110"/>
      <c r="D395" s="110"/>
      <c r="E395" s="77" t="s">
        <v>90</v>
      </c>
      <c r="F395" s="70" t="s">
        <v>91</v>
      </c>
      <c r="G395" s="71">
        <v>16</v>
      </c>
      <c r="H395" s="72">
        <f>H372</f>
        <v>0</v>
      </c>
      <c r="I395" s="73">
        <f t="shared" si="14"/>
        <v>0</v>
      </c>
    </row>
    <row r="396" spans="2:9" ht="13.2">
      <c r="B396" s="25" t="s">
        <v>94</v>
      </c>
      <c r="C396" s="110"/>
      <c r="D396" s="110"/>
      <c r="E396" s="77" t="s">
        <v>92</v>
      </c>
      <c r="F396" s="70" t="s">
        <v>93</v>
      </c>
      <c r="G396" s="71">
        <v>4</v>
      </c>
      <c r="H396" s="72">
        <f>H185</f>
        <v>0</v>
      </c>
      <c r="I396" s="73">
        <f t="shared" si="14"/>
        <v>0</v>
      </c>
    </row>
    <row r="397" spans="2:9" ht="22.8">
      <c r="B397" s="25" t="s">
        <v>114</v>
      </c>
      <c r="C397" s="110"/>
      <c r="D397" s="110"/>
      <c r="E397" s="77" t="s">
        <v>62</v>
      </c>
      <c r="F397" s="70" t="s">
        <v>5</v>
      </c>
      <c r="G397" s="71">
        <v>84</v>
      </c>
      <c r="H397" s="72">
        <f>H392</f>
        <v>0</v>
      </c>
      <c r="I397" s="73">
        <f t="shared" si="14"/>
        <v>0</v>
      </c>
    </row>
    <row r="398" spans="2:9" ht="13.2">
      <c r="B398" s="25" t="s">
        <v>115</v>
      </c>
      <c r="C398" s="76"/>
      <c r="D398" s="76"/>
      <c r="E398" s="77" t="s">
        <v>105</v>
      </c>
      <c r="F398" s="70" t="s">
        <v>5</v>
      </c>
      <c r="G398" s="71">
        <v>30</v>
      </c>
      <c r="H398" s="72">
        <f>H392</f>
        <v>0</v>
      </c>
      <c r="I398" s="73">
        <f t="shared" si="14"/>
        <v>0</v>
      </c>
    </row>
    <row r="399" spans="2:9" ht="13.2">
      <c r="B399" s="78"/>
      <c r="C399" s="79"/>
      <c r="D399" s="80"/>
      <c r="E399" s="81" t="s">
        <v>16</v>
      </c>
      <c r="F399" s="82" t="s">
        <v>34</v>
      </c>
      <c r="G399" s="15"/>
      <c r="H399" s="186"/>
      <c r="I399" s="187"/>
    </row>
    <row r="400" spans="2:9" ht="13.2">
      <c r="B400" s="49" t="s">
        <v>71</v>
      </c>
      <c r="C400" s="50" t="s">
        <v>38</v>
      </c>
      <c r="D400" s="51"/>
      <c r="E400" s="52" t="s">
        <v>17</v>
      </c>
      <c r="F400" s="53"/>
      <c r="G400" s="54"/>
      <c r="H400" s="112"/>
      <c r="I400" s="56"/>
    </row>
    <row r="401" spans="2:9" ht="24">
      <c r="B401" s="49"/>
      <c r="C401" s="57"/>
      <c r="D401" s="58"/>
      <c r="E401" s="85" t="s">
        <v>63</v>
      </c>
      <c r="F401" s="3"/>
      <c r="G401" s="31"/>
      <c r="H401" s="35"/>
      <c r="I401" s="11"/>
    </row>
    <row r="402" spans="2:9" ht="12">
      <c r="B402" s="49" t="s">
        <v>72</v>
      </c>
      <c r="C402" s="87" t="s">
        <v>39</v>
      </c>
      <c r="D402" s="88"/>
      <c r="E402" s="89" t="s">
        <v>18</v>
      </c>
      <c r="F402" s="90" t="s">
        <v>12</v>
      </c>
      <c r="G402" s="91" t="s">
        <v>12</v>
      </c>
      <c r="H402" s="147"/>
      <c r="I402" s="66" t="s">
        <v>12</v>
      </c>
    </row>
    <row r="403" spans="2:9" ht="45.6">
      <c r="B403" s="25" t="s">
        <v>73</v>
      </c>
      <c r="C403" s="94"/>
      <c r="D403" s="95"/>
      <c r="E403" s="96" t="s">
        <v>19</v>
      </c>
      <c r="F403" s="90" t="s">
        <v>20</v>
      </c>
      <c r="G403" s="71">
        <v>5420</v>
      </c>
      <c r="H403" s="72">
        <f>H378</f>
        <v>0</v>
      </c>
      <c r="I403" s="73">
        <f>ROUND($G403*H403,2)</f>
        <v>0</v>
      </c>
    </row>
    <row r="404" spans="2:9" ht="12">
      <c r="B404" s="49" t="s">
        <v>74</v>
      </c>
      <c r="C404" s="87" t="s">
        <v>40</v>
      </c>
      <c r="D404" s="88"/>
      <c r="E404" s="97" t="s">
        <v>22</v>
      </c>
      <c r="F404" s="90" t="s">
        <v>12</v>
      </c>
      <c r="G404" s="91" t="s">
        <v>12</v>
      </c>
      <c r="H404" s="147"/>
      <c r="I404" s="66" t="s">
        <v>12</v>
      </c>
    </row>
    <row r="405" spans="2:9" ht="34.200000000000003">
      <c r="B405" s="25" t="s">
        <v>75</v>
      </c>
      <c r="C405" s="98"/>
      <c r="D405" s="99"/>
      <c r="E405" s="100" t="s">
        <v>32</v>
      </c>
      <c r="F405" s="90" t="s">
        <v>20</v>
      </c>
      <c r="G405" s="71">
        <v>105</v>
      </c>
      <c r="H405" s="72">
        <f>H380</f>
        <v>0</v>
      </c>
      <c r="I405" s="73">
        <f>ROUND($G405*H405,2)</f>
        <v>0</v>
      </c>
    </row>
    <row r="406" spans="2:9" ht="34.200000000000003">
      <c r="B406" s="25" t="s">
        <v>76</v>
      </c>
      <c r="C406" s="101"/>
      <c r="D406" s="102"/>
      <c r="E406" s="100" t="s">
        <v>24</v>
      </c>
      <c r="F406" s="90" t="s">
        <v>20</v>
      </c>
      <c r="G406" s="71">
        <v>480</v>
      </c>
      <c r="H406" s="72">
        <f>H405</f>
        <v>0</v>
      </c>
      <c r="I406" s="73">
        <f>ROUND($G406*H406,2)</f>
        <v>0</v>
      </c>
    </row>
    <row r="407" spans="2:9" ht="22.8">
      <c r="B407" s="25" t="s">
        <v>77</v>
      </c>
      <c r="C407" s="101"/>
      <c r="D407" s="102"/>
      <c r="E407" s="100" t="s">
        <v>33</v>
      </c>
      <c r="F407" s="90" t="s">
        <v>20</v>
      </c>
      <c r="G407" s="71">
        <v>1665</v>
      </c>
      <c r="H407" s="72">
        <f>H406</f>
        <v>0</v>
      </c>
      <c r="I407" s="73">
        <f>ROUND($G407*H407,2)</f>
        <v>0</v>
      </c>
    </row>
    <row r="408" spans="2:9" ht="22.8">
      <c r="B408" s="25" t="s">
        <v>95</v>
      </c>
      <c r="C408" s="113"/>
      <c r="D408" s="113"/>
      <c r="E408" s="103" t="s">
        <v>96</v>
      </c>
      <c r="F408" s="90" t="s">
        <v>20</v>
      </c>
      <c r="G408" s="71">
        <v>2480</v>
      </c>
      <c r="H408" s="72">
        <f>H407</f>
        <v>0</v>
      </c>
      <c r="I408" s="73">
        <f>ROUND($G408*H408,2)</f>
        <v>0</v>
      </c>
    </row>
    <row r="409" spans="2:9" ht="13.8">
      <c r="B409" s="49"/>
      <c r="C409" s="359" t="s">
        <v>81</v>
      </c>
      <c r="D409" s="360"/>
      <c r="E409" s="361"/>
      <c r="F409" s="105"/>
      <c r="G409" s="106"/>
      <c r="H409" s="186" t="s">
        <v>12</v>
      </c>
      <c r="I409" s="114">
        <f>SUM(I392:I408)</f>
        <v>0</v>
      </c>
    </row>
    <row r="410" spans="2:9" ht="26.4">
      <c r="B410" s="41" t="s">
        <v>41</v>
      </c>
      <c r="C410" s="352" t="s">
        <v>147</v>
      </c>
      <c r="D410" s="353"/>
      <c r="E410" s="354"/>
      <c r="F410" s="354"/>
      <c r="G410" s="354"/>
      <c r="H410" s="354"/>
      <c r="I410" s="355"/>
    </row>
    <row r="411" spans="2:9" ht="26.4">
      <c r="B411" s="127" t="s">
        <v>83</v>
      </c>
      <c r="C411" s="340" t="s">
        <v>148</v>
      </c>
      <c r="D411" s="341"/>
      <c r="E411" s="342"/>
      <c r="F411" s="342"/>
      <c r="G411" s="342"/>
      <c r="H411" s="342"/>
      <c r="I411" s="343"/>
    </row>
    <row r="412" spans="2:9" ht="24">
      <c r="B412" s="43" t="s">
        <v>0</v>
      </c>
      <c r="C412" s="44" t="s">
        <v>45</v>
      </c>
      <c r="D412" s="128" t="s">
        <v>82</v>
      </c>
      <c r="E412" s="115" t="s">
        <v>42</v>
      </c>
      <c r="F412" s="126" t="s">
        <v>43</v>
      </c>
      <c r="G412" s="45" t="s">
        <v>1</v>
      </c>
      <c r="H412" s="46" t="s">
        <v>29</v>
      </c>
      <c r="I412" s="47" t="s">
        <v>30</v>
      </c>
    </row>
    <row r="413" spans="2:9" ht="13.2">
      <c r="B413" s="49" t="s">
        <v>65</v>
      </c>
      <c r="C413" s="50" t="s">
        <v>36</v>
      </c>
      <c r="D413" s="51"/>
      <c r="E413" s="52" t="s">
        <v>13</v>
      </c>
      <c r="F413" s="53"/>
      <c r="G413" s="54"/>
      <c r="H413" s="55"/>
      <c r="I413" s="56"/>
    </row>
    <row r="414" spans="2:9" ht="13.2">
      <c r="B414" s="49"/>
      <c r="C414" s="57"/>
      <c r="D414" s="58"/>
      <c r="E414" s="2" t="s">
        <v>2</v>
      </c>
      <c r="F414" s="3"/>
      <c r="G414" s="14"/>
      <c r="H414" s="59"/>
      <c r="I414" s="11"/>
    </row>
    <row r="415" spans="2:9" ht="12">
      <c r="B415" s="49" t="s">
        <v>66</v>
      </c>
      <c r="C415" s="60" t="s">
        <v>37</v>
      </c>
      <c r="D415" s="61"/>
      <c r="E415" s="62" t="s">
        <v>64</v>
      </c>
      <c r="F415" s="63" t="s">
        <v>12</v>
      </c>
      <c r="G415" s="64" t="s">
        <v>12</v>
      </c>
      <c r="H415" s="65" t="s">
        <v>12</v>
      </c>
      <c r="I415" s="66" t="s">
        <v>12</v>
      </c>
    </row>
    <row r="416" spans="2:9" ht="13.2">
      <c r="B416" s="25" t="s">
        <v>67</v>
      </c>
      <c r="C416" s="156"/>
      <c r="D416" s="157"/>
      <c r="E416" s="69" t="s">
        <v>35</v>
      </c>
      <c r="F416" s="70" t="s">
        <v>15</v>
      </c>
      <c r="G416" s="152">
        <v>1210</v>
      </c>
      <c r="H416" s="145">
        <f>H392</f>
        <v>0</v>
      </c>
      <c r="I416" s="146">
        <f>ROUND($G416*H416,2)</f>
        <v>0</v>
      </c>
    </row>
    <row r="417" spans="2:9" ht="12">
      <c r="B417" s="78"/>
      <c r="C417" s="79"/>
      <c r="D417" s="80"/>
      <c r="E417" s="81" t="s">
        <v>16</v>
      </c>
      <c r="F417" s="82" t="s">
        <v>34</v>
      </c>
      <c r="G417" s="34"/>
      <c r="H417" s="144"/>
      <c r="I417" s="124" t="s">
        <v>12</v>
      </c>
    </row>
    <row r="418" spans="2:9" ht="13.2">
      <c r="B418" s="49" t="s">
        <v>71</v>
      </c>
      <c r="C418" s="50" t="s">
        <v>38</v>
      </c>
      <c r="D418" s="51"/>
      <c r="E418" s="52" t="s">
        <v>17</v>
      </c>
      <c r="F418" s="53"/>
      <c r="G418" s="133"/>
      <c r="H418" s="55"/>
      <c r="I418" s="56"/>
    </row>
    <row r="419" spans="2:9" ht="24">
      <c r="B419" s="49"/>
      <c r="C419" s="57"/>
      <c r="D419" s="58"/>
      <c r="E419" s="85" t="s">
        <v>63</v>
      </c>
      <c r="F419" s="3"/>
      <c r="G419" s="36"/>
      <c r="H419" s="59"/>
      <c r="I419" s="11"/>
    </row>
    <row r="420" spans="2:9" ht="12">
      <c r="B420" s="49" t="s">
        <v>72</v>
      </c>
      <c r="C420" s="87" t="s">
        <v>39</v>
      </c>
      <c r="D420" s="88"/>
      <c r="E420" s="89" t="s">
        <v>18</v>
      </c>
      <c r="F420" s="90" t="s">
        <v>12</v>
      </c>
      <c r="G420" s="91" t="s">
        <v>12</v>
      </c>
      <c r="H420" s="147"/>
      <c r="I420" s="66" t="s">
        <v>12</v>
      </c>
    </row>
    <row r="421" spans="2:9" ht="45.6">
      <c r="B421" s="25" t="s">
        <v>73</v>
      </c>
      <c r="C421" s="94"/>
      <c r="D421" s="95"/>
      <c r="E421" s="96" t="s">
        <v>19</v>
      </c>
      <c r="F421" s="90" t="s">
        <v>20</v>
      </c>
      <c r="G421" s="152">
        <v>160</v>
      </c>
      <c r="H421" s="145">
        <f>H403</f>
        <v>0</v>
      </c>
      <c r="I421" s="146">
        <f>ROUND($G421*H421,2)</f>
        <v>0</v>
      </c>
    </row>
    <row r="422" spans="2:9" ht="12">
      <c r="B422" s="49" t="s">
        <v>74</v>
      </c>
      <c r="C422" s="87" t="s">
        <v>40</v>
      </c>
      <c r="D422" s="88"/>
      <c r="E422" s="97" t="s">
        <v>22</v>
      </c>
      <c r="F422" s="90" t="s">
        <v>12</v>
      </c>
      <c r="G422" s="91" t="s">
        <v>12</v>
      </c>
      <c r="H422" s="147"/>
      <c r="I422" s="66" t="s">
        <v>12</v>
      </c>
    </row>
    <row r="423" spans="2:9" ht="34.200000000000003">
      <c r="B423" s="25" t="s">
        <v>75</v>
      </c>
      <c r="C423" s="98"/>
      <c r="D423" s="99"/>
      <c r="E423" s="100" t="s">
        <v>32</v>
      </c>
      <c r="F423" s="90" t="s">
        <v>20</v>
      </c>
      <c r="G423" s="152">
        <v>105</v>
      </c>
      <c r="H423" s="145">
        <f>H405</f>
        <v>0</v>
      </c>
      <c r="I423" s="146">
        <f>ROUND($G423*H423,2)</f>
        <v>0</v>
      </c>
    </row>
    <row r="424" spans="2:9" ht="13.8">
      <c r="B424" s="49"/>
      <c r="C424" s="359" t="s">
        <v>81</v>
      </c>
      <c r="D424" s="360"/>
      <c r="E424" s="361"/>
      <c r="F424" s="105"/>
      <c r="G424" s="34"/>
      <c r="H424" s="29" t="s">
        <v>12</v>
      </c>
      <c r="I424" s="108">
        <f>SUM(I416:I423)</f>
        <v>0</v>
      </c>
    </row>
    <row r="425" spans="2:9" ht="26.4">
      <c r="B425" s="41" t="s">
        <v>41</v>
      </c>
      <c r="C425" s="356" t="s">
        <v>44</v>
      </c>
      <c r="D425" s="357"/>
      <c r="E425" s="357"/>
      <c r="F425" s="357"/>
      <c r="G425" s="357"/>
      <c r="H425" s="357"/>
      <c r="I425" s="358"/>
    </row>
    <row r="426" spans="2:9" ht="26.4">
      <c r="B426" s="127" t="s">
        <v>83</v>
      </c>
      <c r="C426" s="340" t="s">
        <v>149</v>
      </c>
      <c r="D426" s="341"/>
      <c r="E426" s="342"/>
      <c r="F426" s="342"/>
      <c r="G426" s="342"/>
      <c r="H426" s="342"/>
      <c r="I426" s="343"/>
    </row>
    <row r="427" spans="2:9" ht="24">
      <c r="B427" s="43" t="s">
        <v>0</v>
      </c>
      <c r="C427" s="44" t="s">
        <v>45</v>
      </c>
      <c r="D427" s="128" t="s">
        <v>82</v>
      </c>
      <c r="E427" s="115" t="s">
        <v>42</v>
      </c>
      <c r="F427" s="126" t="s">
        <v>43</v>
      </c>
      <c r="G427" s="45" t="s">
        <v>1</v>
      </c>
      <c r="H427" s="46" t="s">
        <v>29</v>
      </c>
      <c r="I427" s="47" t="s">
        <v>30</v>
      </c>
    </row>
    <row r="428" spans="2:9" ht="13.2">
      <c r="B428" s="49" t="s">
        <v>65</v>
      </c>
      <c r="C428" s="50" t="s">
        <v>36</v>
      </c>
      <c r="D428" s="51"/>
      <c r="E428" s="52" t="s">
        <v>13</v>
      </c>
      <c r="F428" s="53"/>
      <c r="G428" s="54"/>
      <c r="H428" s="55"/>
      <c r="I428" s="56"/>
    </row>
    <row r="429" spans="2:9" ht="13.2">
      <c r="B429" s="49"/>
      <c r="C429" s="57"/>
      <c r="D429" s="58"/>
      <c r="E429" s="2" t="s">
        <v>2</v>
      </c>
      <c r="F429" s="3"/>
      <c r="G429" s="31"/>
      <c r="H429" s="59"/>
      <c r="I429" s="11"/>
    </row>
    <row r="430" spans="2:9" ht="12">
      <c r="B430" s="49" t="s">
        <v>66</v>
      </c>
      <c r="C430" s="60" t="s">
        <v>37</v>
      </c>
      <c r="D430" s="61"/>
      <c r="E430" s="62" t="s">
        <v>64</v>
      </c>
      <c r="F430" s="63" t="s">
        <v>12</v>
      </c>
      <c r="G430" s="64" t="s">
        <v>12</v>
      </c>
      <c r="H430" s="65" t="s">
        <v>12</v>
      </c>
      <c r="I430" s="66" t="s">
        <v>12</v>
      </c>
    </row>
    <row r="431" spans="2:9" ht="13.2">
      <c r="B431" s="25" t="s">
        <v>67</v>
      </c>
      <c r="C431" s="67"/>
      <c r="D431" s="68"/>
      <c r="E431" s="69" t="s">
        <v>35</v>
      </c>
      <c r="F431" s="70" t="s">
        <v>15</v>
      </c>
      <c r="G431" s="71">
        <v>85</v>
      </c>
      <c r="H431" s="145">
        <f>H416</f>
        <v>0</v>
      </c>
      <c r="I431" s="146">
        <f>ROUND($G431*H431,2)</f>
        <v>0</v>
      </c>
    </row>
    <row r="432" spans="2:9" ht="13.2">
      <c r="B432" s="25" t="s">
        <v>68</v>
      </c>
      <c r="C432" s="74"/>
      <c r="D432" s="75"/>
      <c r="E432" s="69" t="s">
        <v>146</v>
      </c>
      <c r="F432" s="70" t="s">
        <v>14</v>
      </c>
      <c r="G432" s="71">
        <v>4</v>
      </c>
      <c r="H432" s="145">
        <f>H394</f>
        <v>0</v>
      </c>
      <c r="I432" s="146">
        <f t="shared" ref="I432:I433" si="15">ROUND($G432*H432,2)</f>
        <v>0</v>
      </c>
    </row>
    <row r="433" spans="2:9" ht="13.2">
      <c r="B433" s="25" t="s">
        <v>69</v>
      </c>
      <c r="C433" s="76"/>
      <c r="D433" s="76"/>
      <c r="E433" s="77" t="s">
        <v>105</v>
      </c>
      <c r="F433" s="70" t="s">
        <v>5</v>
      </c>
      <c r="G433" s="71">
        <v>10</v>
      </c>
      <c r="H433" s="145">
        <f>H431</f>
        <v>0</v>
      </c>
      <c r="I433" s="146">
        <f t="shared" si="15"/>
        <v>0</v>
      </c>
    </row>
    <row r="434" spans="2:9" ht="12">
      <c r="B434" s="78"/>
      <c r="C434" s="79"/>
      <c r="D434" s="80"/>
      <c r="E434" s="81" t="s">
        <v>16</v>
      </c>
      <c r="F434" s="82" t="s">
        <v>34</v>
      </c>
      <c r="G434" s="15"/>
      <c r="H434" s="144"/>
      <c r="I434" s="124" t="s">
        <v>12</v>
      </c>
    </row>
    <row r="435" spans="2:9" ht="13.2">
      <c r="B435" s="49" t="s">
        <v>71</v>
      </c>
      <c r="C435" s="50" t="s">
        <v>38</v>
      </c>
      <c r="D435" s="51"/>
      <c r="E435" s="52" t="s">
        <v>17</v>
      </c>
      <c r="F435" s="53"/>
      <c r="G435" s="54"/>
      <c r="H435" s="112"/>
      <c r="I435" s="56"/>
    </row>
    <row r="436" spans="2:9" ht="24">
      <c r="B436" s="49"/>
      <c r="C436" s="57"/>
      <c r="D436" s="58"/>
      <c r="E436" s="85" t="s">
        <v>63</v>
      </c>
      <c r="F436" s="3"/>
      <c r="G436" s="31"/>
      <c r="H436" s="35"/>
      <c r="I436" s="11"/>
    </row>
    <row r="437" spans="2:9" ht="12">
      <c r="B437" s="49" t="s">
        <v>72</v>
      </c>
      <c r="C437" s="87" t="s">
        <v>39</v>
      </c>
      <c r="D437" s="88"/>
      <c r="E437" s="89" t="s">
        <v>18</v>
      </c>
      <c r="F437" s="90" t="s">
        <v>12</v>
      </c>
      <c r="G437" s="91" t="s">
        <v>12</v>
      </c>
      <c r="H437" s="147"/>
      <c r="I437" s="66" t="s">
        <v>12</v>
      </c>
    </row>
    <row r="438" spans="2:9" ht="45.6">
      <c r="B438" s="25" t="s">
        <v>73</v>
      </c>
      <c r="C438" s="94"/>
      <c r="D438" s="95"/>
      <c r="E438" s="96" t="s">
        <v>19</v>
      </c>
      <c r="F438" s="90" t="s">
        <v>20</v>
      </c>
      <c r="G438" s="71">
        <v>1420</v>
      </c>
      <c r="H438" s="145">
        <f>H421</f>
        <v>0</v>
      </c>
      <c r="I438" s="146">
        <f>ROUND($G438*H438,2)</f>
        <v>0</v>
      </c>
    </row>
    <row r="439" spans="2:9" ht="12">
      <c r="B439" s="49" t="s">
        <v>74</v>
      </c>
      <c r="C439" s="87" t="s">
        <v>40</v>
      </c>
      <c r="D439" s="88"/>
      <c r="E439" s="97" t="s">
        <v>22</v>
      </c>
      <c r="F439" s="90" t="s">
        <v>12</v>
      </c>
      <c r="G439" s="91" t="s">
        <v>12</v>
      </c>
      <c r="H439" s="147"/>
      <c r="I439" s="66" t="s">
        <v>12</v>
      </c>
    </row>
    <row r="440" spans="2:9" ht="34.200000000000003">
      <c r="B440" s="25" t="s">
        <v>75</v>
      </c>
      <c r="C440" s="98"/>
      <c r="D440" s="99"/>
      <c r="E440" s="100" t="s">
        <v>32</v>
      </c>
      <c r="F440" s="90" t="s">
        <v>20</v>
      </c>
      <c r="G440" s="71">
        <v>1180</v>
      </c>
      <c r="H440" s="145">
        <f>H423</f>
        <v>0</v>
      </c>
      <c r="I440" s="146">
        <f t="shared" ref="I440:I444" si="16">ROUND($G440*H440,2)</f>
        <v>0</v>
      </c>
    </row>
    <row r="441" spans="2:9" ht="34.200000000000003">
      <c r="B441" s="25" t="s">
        <v>76</v>
      </c>
      <c r="C441" s="101"/>
      <c r="D441" s="102"/>
      <c r="E441" s="100" t="s">
        <v>24</v>
      </c>
      <c r="F441" s="90" t="s">
        <v>20</v>
      </c>
      <c r="G441" s="71">
        <v>1550</v>
      </c>
      <c r="H441" s="145">
        <f>H440</f>
        <v>0</v>
      </c>
      <c r="I441" s="146">
        <f t="shared" si="16"/>
        <v>0</v>
      </c>
    </row>
    <row r="442" spans="2:9" ht="22.8">
      <c r="B442" s="25" t="s">
        <v>77</v>
      </c>
      <c r="C442" s="101"/>
      <c r="D442" s="102"/>
      <c r="E442" s="100" t="s">
        <v>33</v>
      </c>
      <c r="F442" s="90" t="s">
        <v>20</v>
      </c>
      <c r="G442" s="71">
        <v>120</v>
      </c>
      <c r="H442" s="145">
        <f>H441</f>
        <v>0</v>
      </c>
      <c r="I442" s="146">
        <f t="shared" si="16"/>
        <v>0</v>
      </c>
    </row>
    <row r="443" spans="2:9" ht="22.8">
      <c r="B443" s="25" t="s">
        <v>95</v>
      </c>
      <c r="C443" s="113"/>
      <c r="D443" s="113"/>
      <c r="E443" s="103" t="s">
        <v>96</v>
      </c>
      <c r="F443" s="90" t="s">
        <v>20</v>
      </c>
      <c r="G443" s="71">
        <v>240</v>
      </c>
      <c r="H443" s="145">
        <f>H442</f>
        <v>0</v>
      </c>
      <c r="I443" s="146">
        <f t="shared" si="16"/>
        <v>0</v>
      </c>
    </row>
    <row r="444" spans="2:9" ht="22.8">
      <c r="B444" s="25" t="s">
        <v>78</v>
      </c>
      <c r="C444" s="94"/>
      <c r="D444" s="94"/>
      <c r="E444" s="103" t="s">
        <v>239</v>
      </c>
      <c r="F444" s="90" t="s">
        <v>15</v>
      </c>
      <c r="G444" s="71">
        <v>342</v>
      </c>
      <c r="H444" s="145">
        <f>H384</f>
        <v>0</v>
      </c>
      <c r="I444" s="146">
        <f t="shared" si="16"/>
        <v>0</v>
      </c>
    </row>
    <row r="445" spans="2:9" ht="13.8">
      <c r="B445" s="49"/>
      <c r="C445" s="359" t="s">
        <v>81</v>
      </c>
      <c r="D445" s="360"/>
      <c r="E445" s="361"/>
      <c r="F445" s="105"/>
      <c r="G445" s="106"/>
      <c r="H445" s="29" t="s">
        <v>12</v>
      </c>
      <c r="I445" s="108">
        <f>SUM(I431:I444)</f>
        <v>0</v>
      </c>
    </row>
    <row r="446" spans="2:9" ht="26.4">
      <c r="B446" s="41" t="s">
        <v>41</v>
      </c>
      <c r="C446" s="356" t="s">
        <v>44</v>
      </c>
      <c r="D446" s="357"/>
      <c r="E446" s="357"/>
      <c r="F446" s="357"/>
      <c r="G446" s="357"/>
      <c r="H446" s="357"/>
      <c r="I446" s="358"/>
    </row>
    <row r="447" spans="2:9" ht="26.4">
      <c r="B447" s="127" t="s">
        <v>83</v>
      </c>
      <c r="C447" s="340" t="s">
        <v>150</v>
      </c>
      <c r="D447" s="341"/>
      <c r="E447" s="342"/>
      <c r="F447" s="342"/>
      <c r="G447" s="342"/>
      <c r="H447" s="342"/>
      <c r="I447" s="343"/>
    </row>
    <row r="448" spans="2:9" ht="24">
      <c r="B448" s="43" t="s">
        <v>0</v>
      </c>
      <c r="C448" s="44" t="s">
        <v>45</v>
      </c>
      <c r="D448" s="44" t="s">
        <v>82</v>
      </c>
      <c r="E448" s="115" t="s">
        <v>42</v>
      </c>
      <c r="F448" s="126" t="s">
        <v>43</v>
      </c>
      <c r="G448" s="45" t="s">
        <v>1</v>
      </c>
      <c r="H448" s="46" t="s">
        <v>31</v>
      </c>
      <c r="I448" s="47" t="s">
        <v>30</v>
      </c>
    </row>
    <row r="449" spans="2:9" ht="13.2">
      <c r="B449" s="49" t="s">
        <v>65</v>
      </c>
      <c r="C449" s="50" t="s">
        <v>36</v>
      </c>
      <c r="D449" s="51"/>
      <c r="E449" s="52" t="s">
        <v>13</v>
      </c>
      <c r="F449" s="53"/>
      <c r="G449" s="54"/>
      <c r="H449" s="55"/>
      <c r="I449" s="56"/>
    </row>
    <row r="450" spans="2:9" ht="13.2">
      <c r="B450" s="49"/>
      <c r="C450" s="57"/>
      <c r="D450" s="58"/>
      <c r="E450" s="2" t="s">
        <v>2</v>
      </c>
      <c r="F450" s="3"/>
      <c r="G450" s="31"/>
      <c r="H450" s="59"/>
      <c r="I450" s="11"/>
    </row>
    <row r="451" spans="2:9" ht="12">
      <c r="B451" s="49" t="s">
        <v>66</v>
      </c>
      <c r="C451" s="60" t="s">
        <v>37</v>
      </c>
      <c r="D451" s="61"/>
      <c r="E451" s="62" t="s">
        <v>64</v>
      </c>
      <c r="F451" s="63" t="s">
        <v>12</v>
      </c>
      <c r="G451" s="64" t="s">
        <v>12</v>
      </c>
      <c r="H451" s="65" t="s">
        <v>12</v>
      </c>
      <c r="I451" s="66" t="s">
        <v>12</v>
      </c>
    </row>
    <row r="452" spans="2:9" ht="13.2">
      <c r="B452" s="25" t="s">
        <v>67</v>
      </c>
      <c r="C452" s="67"/>
      <c r="D452" s="68"/>
      <c r="E452" s="69" t="s">
        <v>35</v>
      </c>
      <c r="F452" s="70" t="s">
        <v>15</v>
      </c>
      <c r="G452" s="150">
        <v>95</v>
      </c>
      <c r="H452" s="145">
        <f>H431</f>
        <v>0</v>
      </c>
      <c r="I452" s="146">
        <f>ROUND($G452*H452,2)</f>
        <v>0</v>
      </c>
    </row>
    <row r="453" spans="2:9" ht="13.2">
      <c r="B453" s="25" t="s">
        <v>68</v>
      </c>
      <c r="C453" s="74"/>
      <c r="D453" s="75"/>
      <c r="E453" s="69" t="s">
        <v>60</v>
      </c>
      <c r="F453" s="70" t="s">
        <v>14</v>
      </c>
      <c r="G453" s="150">
        <v>505</v>
      </c>
      <c r="H453" s="145">
        <f>H432</f>
        <v>0</v>
      </c>
      <c r="I453" s="146">
        <f t="shared" ref="I453:I456" si="17">ROUND($G453*H453,2)</f>
        <v>0</v>
      </c>
    </row>
    <row r="454" spans="2:9" ht="13.2">
      <c r="B454" s="25" t="s">
        <v>69</v>
      </c>
      <c r="C454" s="74"/>
      <c r="D454" s="75"/>
      <c r="E454" s="69" t="s">
        <v>61</v>
      </c>
      <c r="F454" s="70" t="s">
        <v>14</v>
      </c>
      <c r="G454" s="150">
        <v>16</v>
      </c>
      <c r="H454" s="145">
        <f>H453</f>
        <v>0</v>
      </c>
      <c r="I454" s="146">
        <f t="shared" si="17"/>
        <v>0</v>
      </c>
    </row>
    <row r="455" spans="2:9" ht="13.2">
      <c r="B455" s="25" t="s">
        <v>70</v>
      </c>
      <c r="C455" s="110"/>
      <c r="D455" s="110"/>
      <c r="E455" s="77" t="s">
        <v>90</v>
      </c>
      <c r="F455" s="70" t="s">
        <v>91</v>
      </c>
      <c r="G455" s="150">
        <v>4</v>
      </c>
      <c r="H455" s="145">
        <f>H395</f>
        <v>0</v>
      </c>
      <c r="I455" s="146">
        <f t="shared" si="17"/>
        <v>0</v>
      </c>
    </row>
    <row r="456" spans="2:9" ht="22.8">
      <c r="B456" s="25" t="s">
        <v>94</v>
      </c>
      <c r="C456" s="76"/>
      <c r="D456" s="76"/>
      <c r="E456" s="77" t="s">
        <v>62</v>
      </c>
      <c r="F456" s="70" t="s">
        <v>5</v>
      </c>
      <c r="G456" s="71">
        <v>22.4</v>
      </c>
      <c r="H456" s="145">
        <f>H452</f>
        <v>0</v>
      </c>
      <c r="I456" s="146">
        <f t="shared" si="17"/>
        <v>0</v>
      </c>
    </row>
    <row r="457" spans="2:9" ht="12">
      <c r="B457" s="78"/>
      <c r="C457" s="79"/>
      <c r="D457" s="80"/>
      <c r="E457" s="81" t="s">
        <v>16</v>
      </c>
      <c r="F457" s="82" t="s">
        <v>34</v>
      </c>
      <c r="G457" s="15"/>
      <c r="H457" s="144"/>
      <c r="I457" s="124" t="s">
        <v>12</v>
      </c>
    </row>
    <row r="458" spans="2:9" ht="13.2">
      <c r="B458" s="49" t="s">
        <v>71</v>
      </c>
      <c r="C458" s="50" t="s">
        <v>38</v>
      </c>
      <c r="D458" s="51"/>
      <c r="E458" s="52" t="s">
        <v>17</v>
      </c>
      <c r="F458" s="53"/>
      <c r="G458" s="54"/>
      <c r="H458" s="112"/>
      <c r="I458" s="56"/>
    </row>
    <row r="459" spans="2:9" ht="24">
      <c r="B459" s="49"/>
      <c r="C459" s="57"/>
      <c r="D459" s="58"/>
      <c r="E459" s="85" t="s">
        <v>63</v>
      </c>
      <c r="F459" s="3"/>
      <c r="G459" s="31"/>
      <c r="H459" s="35"/>
      <c r="I459" s="11"/>
    </row>
    <row r="460" spans="2:9" ht="12">
      <c r="B460" s="49" t="s">
        <v>72</v>
      </c>
      <c r="C460" s="87" t="s">
        <v>39</v>
      </c>
      <c r="D460" s="88"/>
      <c r="E460" s="89" t="s">
        <v>18</v>
      </c>
      <c r="F460" s="90" t="s">
        <v>12</v>
      </c>
      <c r="G460" s="91" t="s">
        <v>12</v>
      </c>
      <c r="H460" s="147"/>
      <c r="I460" s="66" t="s">
        <v>12</v>
      </c>
    </row>
    <row r="461" spans="2:9" ht="45.6">
      <c r="B461" s="25" t="s">
        <v>73</v>
      </c>
      <c r="C461" s="94"/>
      <c r="D461" s="95"/>
      <c r="E461" s="96" t="s">
        <v>19</v>
      </c>
      <c r="F461" s="90" t="s">
        <v>20</v>
      </c>
      <c r="G461" s="150">
        <v>1980</v>
      </c>
      <c r="H461" s="145">
        <f>H438</f>
        <v>0</v>
      </c>
      <c r="I461" s="146">
        <f>ROUND($G461*H461,2)</f>
        <v>0</v>
      </c>
    </row>
    <row r="462" spans="2:9" ht="12">
      <c r="B462" s="49" t="s">
        <v>74</v>
      </c>
      <c r="C462" s="87" t="s">
        <v>40</v>
      </c>
      <c r="D462" s="88"/>
      <c r="E462" s="97" t="s">
        <v>22</v>
      </c>
      <c r="F462" s="90" t="s">
        <v>12</v>
      </c>
      <c r="G462" s="91" t="s">
        <v>12</v>
      </c>
      <c r="H462" s="147"/>
      <c r="I462" s="66" t="s">
        <v>12</v>
      </c>
    </row>
    <row r="463" spans="2:9" ht="34.200000000000003">
      <c r="B463" s="25" t="s">
        <v>75</v>
      </c>
      <c r="C463" s="98"/>
      <c r="D463" s="99"/>
      <c r="E463" s="100" t="s">
        <v>32</v>
      </c>
      <c r="F463" s="90" t="s">
        <v>20</v>
      </c>
      <c r="G463" s="150">
        <v>245</v>
      </c>
      <c r="H463" s="145">
        <f>H442</f>
        <v>0</v>
      </c>
      <c r="I463" s="146">
        <f t="shared" ref="I463:I467" si="18">ROUND($G463*H463,2)</f>
        <v>0</v>
      </c>
    </row>
    <row r="464" spans="2:9" ht="34.200000000000003">
      <c r="B464" s="25" t="s">
        <v>76</v>
      </c>
      <c r="C464" s="101"/>
      <c r="D464" s="102"/>
      <c r="E464" s="100" t="s">
        <v>24</v>
      </c>
      <c r="F464" s="90" t="s">
        <v>20</v>
      </c>
      <c r="G464" s="150">
        <v>1590</v>
      </c>
      <c r="H464" s="145">
        <f>H463</f>
        <v>0</v>
      </c>
      <c r="I464" s="146">
        <f t="shared" si="18"/>
        <v>0</v>
      </c>
    </row>
    <row r="465" spans="2:9" ht="22.8">
      <c r="B465" s="25" t="s">
        <v>77</v>
      </c>
      <c r="C465" s="101"/>
      <c r="D465" s="102"/>
      <c r="E465" s="100" t="s">
        <v>33</v>
      </c>
      <c r="F465" s="90" t="s">
        <v>20</v>
      </c>
      <c r="G465" s="150">
        <v>80</v>
      </c>
      <c r="H465" s="145">
        <f>H464</f>
        <v>0</v>
      </c>
      <c r="I465" s="146">
        <f t="shared" si="18"/>
        <v>0</v>
      </c>
    </row>
    <row r="466" spans="2:9" ht="22.8">
      <c r="B466" s="25" t="s">
        <v>95</v>
      </c>
      <c r="C466" s="113"/>
      <c r="D466" s="113"/>
      <c r="E466" s="103" t="s">
        <v>96</v>
      </c>
      <c r="F466" s="90" t="s">
        <v>20</v>
      </c>
      <c r="G466" s="150">
        <v>180</v>
      </c>
      <c r="H466" s="145">
        <f>H465</f>
        <v>0</v>
      </c>
      <c r="I466" s="146">
        <f t="shared" si="18"/>
        <v>0</v>
      </c>
    </row>
    <row r="467" spans="2:9" ht="22.8">
      <c r="B467" s="25" t="s">
        <v>78</v>
      </c>
      <c r="C467" s="94"/>
      <c r="D467" s="94"/>
      <c r="E467" s="103" t="s">
        <v>239</v>
      </c>
      <c r="F467" s="90" t="s">
        <v>15</v>
      </c>
      <c r="G467" s="71">
        <v>335</v>
      </c>
      <c r="H467" s="145">
        <f>H444</f>
        <v>0</v>
      </c>
      <c r="I467" s="146">
        <f t="shared" si="18"/>
        <v>0</v>
      </c>
    </row>
    <row r="468" spans="2:9" ht="13.8">
      <c r="B468" s="49"/>
      <c r="C468" s="359" t="s">
        <v>81</v>
      </c>
      <c r="D468" s="360"/>
      <c r="E468" s="361"/>
      <c r="F468" s="105"/>
      <c r="G468" s="106"/>
      <c r="H468" s="29" t="s">
        <v>12</v>
      </c>
      <c r="I468" s="108">
        <f>SUM(I452:I467)</f>
        <v>0</v>
      </c>
    </row>
    <row r="469" spans="2:9" ht="26.4">
      <c r="B469" s="41" t="s">
        <v>41</v>
      </c>
      <c r="C469" s="356" t="s">
        <v>44</v>
      </c>
      <c r="D469" s="357"/>
      <c r="E469" s="357"/>
      <c r="F469" s="357"/>
      <c r="G469" s="357"/>
      <c r="H469" s="357"/>
      <c r="I469" s="358"/>
    </row>
    <row r="470" spans="2:9" ht="26.4">
      <c r="B470" s="127" t="s">
        <v>83</v>
      </c>
      <c r="C470" s="340" t="s">
        <v>151</v>
      </c>
      <c r="D470" s="341"/>
      <c r="E470" s="342"/>
      <c r="F470" s="342"/>
      <c r="G470" s="342"/>
      <c r="H470" s="342"/>
      <c r="I470" s="343"/>
    </row>
    <row r="471" spans="2:9" ht="24">
      <c r="B471" s="43" t="s">
        <v>0</v>
      </c>
      <c r="C471" s="44" t="s">
        <v>45</v>
      </c>
      <c r="D471" s="128" t="s">
        <v>82</v>
      </c>
      <c r="E471" s="115" t="s">
        <v>42</v>
      </c>
      <c r="F471" s="126" t="s">
        <v>43</v>
      </c>
      <c r="G471" s="45" t="s">
        <v>1</v>
      </c>
      <c r="H471" s="46" t="s">
        <v>29</v>
      </c>
      <c r="I471" s="47" t="s">
        <v>30</v>
      </c>
    </row>
    <row r="472" spans="2:9" ht="13.2">
      <c r="B472" s="49" t="s">
        <v>109</v>
      </c>
      <c r="C472" s="50" t="s">
        <v>110</v>
      </c>
      <c r="D472" s="51"/>
      <c r="E472" s="52" t="s">
        <v>111</v>
      </c>
      <c r="F472" s="53"/>
      <c r="G472" s="84">
        <v>0</v>
      </c>
      <c r="H472" s="133"/>
      <c r="I472" s="133"/>
    </row>
    <row r="473" spans="2:9" ht="13.2">
      <c r="B473" s="49" t="s">
        <v>65</v>
      </c>
      <c r="C473" s="50" t="s">
        <v>36</v>
      </c>
      <c r="D473" s="51"/>
      <c r="E473" s="52" t="s">
        <v>13</v>
      </c>
      <c r="F473" s="53"/>
      <c r="G473" s="54"/>
      <c r="H473" s="55"/>
      <c r="I473" s="56"/>
    </row>
    <row r="474" spans="2:9" ht="13.2">
      <c r="B474" s="49"/>
      <c r="C474" s="57"/>
      <c r="D474" s="58"/>
      <c r="E474" s="2" t="s">
        <v>2</v>
      </c>
      <c r="F474" s="3"/>
      <c r="G474" s="31"/>
      <c r="H474" s="59"/>
      <c r="I474" s="11"/>
    </row>
    <row r="475" spans="2:9" ht="12">
      <c r="B475" s="49" t="s">
        <v>66</v>
      </c>
      <c r="C475" s="60" t="s">
        <v>37</v>
      </c>
      <c r="D475" s="61"/>
      <c r="E475" s="62" t="s">
        <v>64</v>
      </c>
      <c r="F475" s="63" t="s">
        <v>12</v>
      </c>
      <c r="G475" s="64" t="s">
        <v>12</v>
      </c>
      <c r="H475" s="65" t="s">
        <v>12</v>
      </c>
      <c r="I475" s="66" t="s">
        <v>12</v>
      </c>
    </row>
    <row r="476" spans="2:9" ht="13.2">
      <c r="B476" s="25" t="s">
        <v>67</v>
      </c>
      <c r="C476" s="67"/>
      <c r="D476" s="68"/>
      <c r="E476" s="69" t="s">
        <v>35</v>
      </c>
      <c r="F476" s="70" t="s">
        <v>15</v>
      </c>
      <c r="G476" s="71">
        <v>270</v>
      </c>
      <c r="H476" s="145">
        <f>H452</f>
        <v>0</v>
      </c>
      <c r="I476" s="146">
        <f>ROUND($G476*H476,2)</f>
        <v>0</v>
      </c>
    </row>
    <row r="477" spans="2:9" ht="13.2">
      <c r="B477" s="25" t="s">
        <v>68</v>
      </c>
      <c r="C477" s="74"/>
      <c r="D477" s="75"/>
      <c r="E477" s="69" t="s">
        <v>60</v>
      </c>
      <c r="F477" s="70" t="s">
        <v>14</v>
      </c>
      <c r="G477" s="71">
        <v>18</v>
      </c>
      <c r="H477" s="145">
        <f>H453</f>
        <v>0</v>
      </c>
      <c r="I477" s="146">
        <f t="shared" ref="I477:I479" si="19">ROUND($G477*H477,2)</f>
        <v>0</v>
      </c>
    </row>
    <row r="478" spans="2:9" ht="22.8">
      <c r="B478" s="25" t="s">
        <v>69</v>
      </c>
      <c r="C478" s="110"/>
      <c r="D478" s="110"/>
      <c r="E478" s="77" t="s">
        <v>62</v>
      </c>
      <c r="F478" s="70" t="s">
        <v>5</v>
      </c>
      <c r="G478" s="71">
        <v>8</v>
      </c>
      <c r="H478" s="145">
        <f>H452</f>
        <v>0</v>
      </c>
      <c r="I478" s="146">
        <f t="shared" si="19"/>
        <v>0</v>
      </c>
    </row>
    <row r="479" spans="2:9" ht="13.2">
      <c r="B479" s="25" t="s">
        <v>70</v>
      </c>
      <c r="C479" s="76"/>
      <c r="D479" s="76"/>
      <c r="E479" s="77" t="s">
        <v>105</v>
      </c>
      <c r="F479" s="70" t="s">
        <v>5</v>
      </c>
      <c r="G479" s="71">
        <v>12.5</v>
      </c>
      <c r="H479" s="145">
        <f>H476</f>
        <v>0</v>
      </c>
      <c r="I479" s="146">
        <f t="shared" si="19"/>
        <v>0</v>
      </c>
    </row>
    <row r="480" spans="2:9" ht="12">
      <c r="B480" s="78"/>
      <c r="C480" s="79"/>
      <c r="D480" s="80"/>
      <c r="E480" s="81" t="s">
        <v>16</v>
      </c>
      <c r="F480" s="82" t="s">
        <v>34</v>
      </c>
      <c r="G480" s="15"/>
      <c r="H480" s="144"/>
      <c r="I480" s="124" t="s">
        <v>12</v>
      </c>
    </row>
    <row r="481" spans="2:9" ht="13.2">
      <c r="B481" s="49" t="s">
        <v>71</v>
      </c>
      <c r="C481" s="50" t="s">
        <v>38</v>
      </c>
      <c r="D481" s="51"/>
      <c r="E481" s="52" t="s">
        <v>17</v>
      </c>
      <c r="F481" s="53"/>
      <c r="G481" s="54"/>
      <c r="H481" s="112"/>
      <c r="I481" s="56"/>
    </row>
    <row r="482" spans="2:9" ht="24">
      <c r="B482" s="49"/>
      <c r="C482" s="57"/>
      <c r="D482" s="58"/>
      <c r="E482" s="85" t="s">
        <v>63</v>
      </c>
      <c r="F482" s="3"/>
      <c r="G482" s="31"/>
      <c r="H482" s="35"/>
      <c r="I482" s="11"/>
    </row>
    <row r="483" spans="2:9" ht="12">
      <c r="B483" s="49" t="s">
        <v>72</v>
      </c>
      <c r="C483" s="87" t="s">
        <v>39</v>
      </c>
      <c r="D483" s="88"/>
      <c r="E483" s="89" t="s">
        <v>18</v>
      </c>
      <c r="F483" s="90" t="s">
        <v>12</v>
      </c>
      <c r="G483" s="91" t="s">
        <v>12</v>
      </c>
      <c r="H483" s="147"/>
      <c r="I483" s="66" t="s">
        <v>12</v>
      </c>
    </row>
    <row r="484" spans="2:9" ht="45.6">
      <c r="B484" s="25" t="s">
        <v>73</v>
      </c>
      <c r="C484" s="94"/>
      <c r="D484" s="95"/>
      <c r="E484" s="96" t="s">
        <v>19</v>
      </c>
      <c r="F484" s="90" t="s">
        <v>20</v>
      </c>
      <c r="G484" s="71">
        <v>1850</v>
      </c>
      <c r="H484" s="145">
        <f>H461</f>
        <v>0</v>
      </c>
      <c r="I484" s="146">
        <f>ROUND($G484*H484,2)</f>
        <v>0</v>
      </c>
    </row>
    <row r="485" spans="2:9" ht="12">
      <c r="B485" s="49" t="s">
        <v>74</v>
      </c>
      <c r="C485" s="87" t="s">
        <v>40</v>
      </c>
      <c r="D485" s="88"/>
      <c r="E485" s="97" t="s">
        <v>22</v>
      </c>
      <c r="F485" s="90" t="s">
        <v>12</v>
      </c>
      <c r="G485" s="91" t="s">
        <v>12</v>
      </c>
      <c r="H485" s="147"/>
      <c r="I485" s="66" t="s">
        <v>12</v>
      </c>
    </row>
    <row r="486" spans="2:9" ht="34.200000000000003">
      <c r="B486" s="25" t="s">
        <v>75</v>
      </c>
      <c r="C486" s="98"/>
      <c r="D486" s="99"/>
      <c r="E486" s="100" t="s">
        <v>152</v>
      </c>
      <c r="F486" s="90" t="s">
        <v>20</v>
      </c>
      <c r="G486" s="71">
        <v>1260</v>
      </c>
      <c r="H486" s="145">
        <f>H487</f>
        <v>0</v>
      </c>
      <c r="I486" s="146">
        <f t="shared" ref="I486:I488" si="20">ROUND($G486*H486,2)</f>
        <v>0</v>
      </c>
    </row>
    <row r="487" spans="2:9" ht="34.200000000000003">
      <c r="B487" s="25" t="s">
        <v>76</v>
      </c>
      <c r="C487" s="101"/>
      <c r="D487" s="102"/>
      <c r="E487" s="100" t="s">
        <v>24</v>
      </c>
      <c r="F487" s="90" t="s">
        <v>20</v>
      </c>
      <c r="G487" s="71">
        <v>125</v>
      </c>
      <c r="H487" s="145">
        <f>H464</f>
        <v>0</v>
      </c>
      <c r="I487" s="146">
        <f t="shared" si="20"/>
        <v>0</v>
      </c>
    </row>
    <row r="488" spans="2:9" ht="22.8">
      <c r="B488" s="25" t="s">
        <v>77</v>
      </c>
      <c r="C488" s="101"/>
      <c r="D488" s="102"/>
      <c r="E488" s="100" t="s">
        <v>33</v>
      </c>
      <c r="F488" s="90" t="s">
        <v>20</v>
      </c>
      <c r="G488" s="71">
        <v>65</v>
      </c>
      <c r="H488" s="145">
        <f>H487</f>
        <v>0</v>
      </c>
      <c r="I488" s="146">
        <f t="shared" si="20"/>
        <v>0</v>
      </c>
    </row>
    <row r="489" spans="2:9" ht="12">
      <c r="B489" s="49" t="s">
        <v>153</v>
      </c>
      <c r="C489" s="87" t="s">
        <v>154</v>
      </c>
      <c r="D489" s="87"/>
      <c r="E489" s="188" t="s">
        <v>155</v>
      </c>
      <c r="F489" s="189" t="s">
        <v>12</v>
      </c>
      <c r="G489" s="64" t="s">
        <v>12</v>
      </c>
      <c r="H489" s="190"/>
      <c r="I489" s="66" t="s">
        <v>12</v>
      </c>
    </row>
    <row r="490" spans="2:9" ht="45.6">
      <c r="B490" s="191" t="s">
        <v>156</v>
      </c>
      <c r="C490" s="192"/>
      <c r="D490" s="192"/>
      <c r="E490" s="77" t="s">
        <v>157</v>
      </c>
      <c r="F490" s="193" t="s">
        <v>158</v>
      </c>
      <c r="G490" s="71">
        <v>1</v>
      </c>
      <c r="H490" s="145">
        <v>0</v>
      </c>
      <c r="I490" s="146">
        <f>ROUND($G490*H490,2)</f>
        <v>0</v>
      </c>
    </row>
    <row r="491" spans="2:9" ht="13.2">
      <c r="B491" s="78"/>
      <c r="C491" s="119"/>
      <c r="D491" s="120"/>
      <c r="E491" s="121" t="s">
        <v>103</v>
      </c>
      <c r="F491" s="82"/>
      <c r="G491" s="122"/>
      <c r="H491" s="144"/>
      <c r="I491" s="124" t="s">
        <v>12</v>
      </c>
    </row>
    <row r="492" spans="2:9" ht="13.8">
      <c r="B492" s="49"/>
      <c r="C492" s="359" t="s">
        <v>81</v>
      </c>
      <c r="D492" s="360"/>
      <c r="E492" s="361"/>
      <c r="F492" s="105"/>
      <c r="G492" s="106"/>
      <c r="H492" s="29" t="s">
        <v>12</v>
      </c>
      <c r="I492" s="108">
        <f>SUM(I476:I491)</f>
        <v>0</v>
      </c>
    </row>
    <row r="493" spans="2:9" ht="26.4">
      <c r="B493" s="41" t="s">
        <v>41</v>
      </c>
      <c r="C493" s="352" t="s">
        <v>159</v>
      </c>
      <c r="D493" s="353"/>
      <c r="E493" s="354"/>
      <c r="F493" s="354"/>
      <c r="G493" s="354"/>
      <c r="H493" s="354"/>
      <c r="I493" s="355"/>
    </row>
    <row r="494" spans="2:9" ht="26.4">
      <c r="B494" s="127" t="s">
        <v>83</v>
      </c>
      <c r="C494" s="340" t="s">
        <v>160</v>
      </c>
      <c r="D494" s="341"/>
      <c r="E494" s="342"/>
      <c r="F494" s="342"/>
      <c r="G494" s="342"/>
      <c r="H494" s="342"/>
      <c r="I494" s="343"/>
    </row>
    <row r="495" spans="2:9" ht="24">
      <c r="B495" s="43" t="s">
        <v>0</v>
      </c>
      <c r="C495" s="44" t="s">
        <v>45</v>
      </c>
      <c r="D495" s="128" t="s">
        <v>82</v>
      </c>
      <c r="E495" s="115" t="s">
        <v>42</v>
      </c>
      <c r="F495" s="126" t="s">
        <v>43</v>
      </c>
      <c r="G495" s="45" t="s">
        <v>1</v>
      </c>
      <c r="H495" s="46" t="s">
        <v>29</v>
      </c>
      <c r="I495" s="47" t="s">
        <v>30</v>
      </c>
    </row>
    <row r="496" spans="2:9" ht="13.2">
      <c r="B496" s="49" t="s">
        <v>65</v>
      </c>
      <c r="C496" s="50" t="s">
        <v>36</v>
      </c>
      <c r="D496" s="51"/>
      <c r="E496" s="52" t="s">
        <v>13</v>
      </c>
      <c r="F496" s="53"/>
      <c r="G496" s="54"/>
      <c r="H496" s="55"/>
      <c r="I496" s="56"/>
    </row>
    <row r="497" spans="2:9" ht="13.2">
      <c r="B497" s="49"/>
      <c r="C497" s="57"/>
      <c r="D497" s="58"/>
      <c r="E497" s="2" t="s">
        <v>2</v>
      </c>
      <c r="F497" s="3"/>
      <c r="G497" s="14"/>
      <c r="H497" s="59"/>
      <c r="I497" s="11"/>
    </row>
    <row r="498" spans="2:9" ht="12">
      <c r="B498" s="49" t="s">
        <v>66</v>
      </c>
      <c r="C498" s="60" t="s">
        <v>37</v>
      </c>
      <c r="D498" s="61"/>
      <c r="E498" s="62" t="s">
        <v>64</v>
      </c>
      <c r="F498" s="63" t="s">
        <v>12</v>
      </c>
      <c r="G498" s="64" t="s">
        <v>12</v>
      </c>
      <c r="H498" s="65" t="s">
        <v>12</v>
      </c>
      <c r="I498" s="66" t="s">
        <v>12</v>
      </c>
    </row>
    <row r="499" spans="2:9" ht="13.2">
      <c r="B499" s="25" t="s">
        <v>67</v>
      </c>
      <c r="C499" s="156"/>
      <c r="D499" s="157"/>
      <c r="E499" s="69" t="s">
        <v>35</v>
      </c>
      <c r="F499" s="70" t="s">
        <v>15</v>
      </c>
      <c r="G499" s="152">
        <v>1020</v>
      </c>
      <c r="H499" s="145">
        <f>H476</f>
        <v>0</v>
      </c>
      <c r="I499" s="146">
        <f>ROUND($G499*H499,2)</f>
        <v>0</v>
      </c>
    </row>
    <row r="500" spans="2:9" ht="12">
      <c r="B500" s="78"/>
      <c r="C500" s="79"/>
      <c r="D500" s="80"/>
      <c r="E500" s="81" t="s">
        <v>16</v>
      </c>
      <c r="F500" s="82" t="s">
        <v>34</v>
      </c>
      <c r="G500" s="34"/>
      <c r="H500" s="144"/>
      <c r="I500" s="124" t="s">
        <v>12</v>
      </c>
    </row>
    <row r="501" spans="2:9" ht="13.2">
      <c r="B501" s="49" t="s">
        <v>71</v>
      </c>
      <c r="C501" s="50" t="s">
        <v>38</v>
      </c>
      <c r="D501" s="51"/>
      <c r="E501" s="52" t="s">
        <v>17</v>
      </c>
      <c r="F501" s="53"/>
      <c r="G501" s="133"/>
      <c r="H501" s="112"/>
      <c r="I501" s="56"/>
    </row>
    <row r="502" spans="2:9" ht="24">
      <c r="B502" s="49"/>
      <c r="C502" s="57"/>
      <c r="D502" s="58"/>
      <c r="E502" s="85" t="s">
        <v>63</v>
      </c>
      <c r="F502" s="3"/>
      <c r="G502" s="36"/>
      <c r="H502" s="35"/>
      <c r="I502" s="11"/>
    </row>
    <row r="503" spans="2:9" ht="12">
      <c r="B503" s="49" t="s">
        <v>72</v>
      </c>
      <c r="C503" s="87" t="s">
        <v>39</v>
      </c>
      <c r="D503" s="88"/>
      <c r="E503" s="89" t="s">
        <v>18</v>
      </c>
      <c r="F503" s="90" t="s">
        <v>12</v>
      </c>
      <c r="G503" s="91"/>
      <c r="H503" s="147"/>
      <c r="I503" s="66" t="s">
        <v>12</v>
      </c>
    </row>
    <row r="504" spans="2:9" ht="45.6">
      <c r="B504" s="25" t="s">
        <v>73</v>
      </c>
      <c r="C504" s="94"/>
      <c r="D504" s="95"/>
      <c r="E504" s="96" t="s">
        <v>19</v>
      </c>
      <c r="F504" s="90" t="s">
        <v>20</v>
      </c>
      <c r="G504" s="152">
        <v>620</v>
      </c>
      <c r="H504" s="145">
        <f>H484</f>
        <v>0</v>
      </c>
      <c r="I504" s="146">
        <f>ROUND($G504*H504,2)</f>
        <v>0</v>
      </c>
    </row>
    <row r="505" spans="2:9" ht="12">
      <c r="B505" s="49" t="s">
        <v>74</v>
      </c>
      <c r="C505" s="87" t="s">
        <v>40</v>
      </c>
      <c r="D505" s="88"/>
      <c r="E505" s="97" t="s">
        <v>22</v>
      </c>
      <c r="F505" s="90" t="s">
        <v>12</v>
      </c>
      <c r="G505" s="91"/>
      <c r="H505" s="147"/>
      <c r="I505" s="66" t="s">
        <v>12</v>
      </c>
    </row>
    <row r="506" spans="2:9" ht="34.200000000000003">
      <c r="B506" s="25" t="s">
        <v>75</v>
      </c>
      <c r="C506" s="98"/>
      <c r="D506" s="99"/>
      <c r="E506" s="100" t="s">
        <v>32</v>
      </c>
      <c r="F506" s="90" t="s">
        <v>20</v>
      </c>
      <c r="G506" s="152">
        <v>195</v>
      </c>
      <c r="H506" s="145">
        <f>H504</f>
        <v>0</v>
      </c>
      <c r="I506" s="146">
        <f>ROUND($G506*H506,2)</f>
        <v>0</v>
      </c>
    </row>
    <row r="507" spans="2:9" ht="13.8">
      <c r="B507" s="49"/>
      <c r="C507" s="359" t="s">
        <v>81</v>
      </c>
      <c r="D507" s="360"/>
      <c r="E507" s="361"/>
      <c r="F507" s="105"/>
      <c r="G507" s="34"/>
      <c r="H507" s="29" t="s">
        <v>12</v>
      </c>
      <c r="I507" s="114">
        <f>SUM(I499:I506)</f>
        <v>0</v>
      </c>
    </row>
    <row r="508" spans="2:9" ht="26.4">
      <c r="B508" s="41" t="s">
        <v>41</v>
      </c>
      <c r="C508" s="356" t="s">
        <v>44</v>
      </c>
      <c r="D508" s="357"/>
      <c r="E508" s="357"/>
      <c r="F508" s="357"/>
      <c r="G508" s="357"/>
      <c r="H508" s="357"/>
      <c r="I508" s="358"/>
    </row>
    <row r="509" spans="2:9" ht="26.4">
      <c r="B509" s="127" t="s">
        <v>83</v>
      </c>
      <c r="C509" s="340" t="s">
        <v>161</v>
      </c>
      <c r="D509" s="341"/>
      <c r="E509" s="342"/>
      <c r="F509" s="342"/>
      <c r="G509" s="342"/>
      <c r="H509" s="342"/>
      <c r="I509" s="343"/>
    </row>
    <row r="510" spans="2:9" ht="24">
      <c r="B510" s="43" t="s">
        <v>0</v>
      </c>
      <c r="C510" s="44" t="s">
        <v>45</v>
      </c>
      <c r="D510" s="128" t="s">
        <v>82</v>
      </c>
      <c r="E510" s="115" t="s">
        <v>42</v>
      </c>
      <c r="F510" s="126" t="s">
        <v>43</v>
      </c>
      <c r="G510" s="45" t="s">
        <v>1</v>
      </c>
      <c r="H510" s="46" t="s">
        <v>29</v>
      </c>
      <c r="I510" s="47" t="s">
        <v>30</v>
      </c>
    </row>
    <row r="511" spans="2:9" ht="13.2">
      <c r="B511" s="49" t="s">
        <v>65</v>
      </c>
      <c r="C511" s="50" t="s">
        <v>36</v>
      </c>
      <c r="D511" s="51"/>
      <c r="E511" s="52" t="s">
        <v>13</v>
      </c>
      <c r="F511" s="53"/>
      <c r="G511" s="148"/>
      <c r="H511" s="55"/>
      <c r="I511" s="56"/>
    </row>
    <row r="512" spans="2:9" ht="13.2">
      <c r="B512" s="49"/>
      <c r="C512" s="57"/>
      <c r="D512" s="58"/>
      <c r="E512" s="2" t="s">
        <v>2</v>
      </c>
      <c r="F512" s="3"/>
      <c r="G512" s="149"/>
      <c r="H512" s="59"/>
      <c r="I512" s="11"/>
    </row>
    <row r="513" spans="2:9" ht="12">
      <c r="B513" s="49" t="s">
        <v>66</v>
      </c>
      <c r="C513" s="60" t="s">
        <v>37</v>
      </c>
      <c r="D513" s="61"/>
      <c r="E513" s="62" t="s">
        <v>64</v>
      </c>
      <c r="F513" s="63" t="s">
        <v>12</v>
      </c>
      <c r="G513" s="64" t="s">
        <v>12</v>
      </c>
      <c r="H513" s="65" t="s">
        <v>12</v>
      </c>
      <c r="I513" s="66" t="s">
        <v>12</v>
      </c>
    </row>
    <row r="514" spans="2:9" ht="13.2">
      <c r="B514" s="25" t="s">
        <v>67</v>
      </c>
      <c r="C514" s="67"/>
      <c r="D514" s="68"/>
      <c r="E514" s="69" t="s">
        <v>35</v>
      </c>
      <c r="F514" s="70" t="s">
        <v>15</v>
      </c>
      <c r="G514" s="150">
        <v>55</v>
      </c>
      <c r="H514" s="145">
        <f>H499</f>
        <v>0</v>
      </c>
      <c r="I514" s="146">
        <f>ROUND($G514*H514,2)</f>
        <v>0</v>
      </c>
    </row>
    <row r="515" spans="2:9" ht="13.2">
      <c r="B515" s="49" t="s">
        <v>71</v>
      </c>
      <c r="C515" s="50" t="s">
        <v>38</v>
      </c>
      <c r="D515" s="51"/>
      <c r="E515" s="52" t="s">
        <v>17</v>
      </c>
      <c r="F515" s="53"/>
      <c r="G515" s="148"/>
      <c r="H515" s="112"/>
      <c r="I515" s="56"/>
    </row>
    <row r="516" spans="2:9" ht="24">
      <c r="B516" s="49"/>
      <c r="C516" s="57"/>
      <c r="D516" s="58"/>
      <c r="E516" s="85" t="s">
        <v>63</v>
      </c>
      <c r="F516" s="3"/>
      <c r="G516" s="149"/>
      <c r="H516" s="35"/>
      <c r="I516" s="11"/>
    </row>
    <row r="517" spans="2:9" ht="12">
      <c r="B517" s="49" t="s">
        <v>72</v>
      </c>
      <c r="C517" s="87" t="s">
        <v>39</v>
      </c>
      <c r="D517" s="88"/>
      <c r="E517" s="89" t="s">
        <v>18</v>
      </c>
      <c r="F517" s="90" t="s">
        <v>12</v>
      </c>
      <c r="G517" s="91" t="s">
        <v>12</v>
      </c>
      <c r="H517" s="147"/>
      <c r="I517" s="66" t="s">
        <v>12</v>
      </c>
    </row>
    <row r="518" spans="2:9" ht="45.6">
      <c r="B518" s="25" t="s">
        <v>73</v>
      </c>
      <c r="C518" s="94"/>
      <c r="D518" s="95"/>
      <c r="E518" s="96" t="s">
        <v>19</v>
      </c>
      <c r="F518" s="90" t="s">
        <v>20</v>
      </c>
      <c r="G518" s="150">
        <v>855</v>
      </c>
      <c r="H518" s="145">
        <f>H504</f>
        <v>0</v>
      </c>
      <c r="I518" s="146">
        <f>ROUND($G518*H518,2)</f>
        <v>0</v>
      </c>
    </row>
    <row r="519" spans="2:9" ht="12">
      <c r="B519" s="49" t="s">
        <v>74</v>
      </c>
      <c r="C519" s="87" t="s">
        <v>40</v>
      </c>
      <c r="D519" s="88"/>
      <c r="E519" s="97" t="s">
        <v>22</v>
      </c>
      <c r="F519" s="90" t="s">
        <v>12</v>
      </c>
      <c r="G519" s="91" t="s">
        <v>12</v>
      </c>
      <c r="H519" s="147"/>
      <c r="I519" s="66" t="s">
        <v>12</v>
      </c>
    </row>
    <row r="520" spans="2:9" ht="34.200000000000003">
      <c r="B520" s="25" t="s">
        <v>75</v>
      </c>
      <c r="C520" s="98"/>
      <c r="D520" s="99"/>
      <c r="E520" s="100" t="s">
        <v>32</v>
      </c>
      <c r="F520" s="90" t="s">
        <v>20</v>
      </c>
      <c r="G520" s="150">
        <v>470</v>
      </c>
      <c r="H520" s="145">
        <f>H521</f>
        <v>0</v>
      </c>
      <c r="I520" s="146">
        <f t="shared" ref="I520:I523" si="21">ROUND($G520*H520,2)</f>
        <v>0</v>
      </c>
    </row>
    <row r="521" spans="2:9" ht="34.200000000000003">
      <c r="B521" s="25" t="s">
        <v>76</v>
      </c>
      <c r="C521" s="101"/>
      <c r="D521" s="102"/>
      <c r="E521" s="100" t="s">
        <v>24</v>
      </c>
      <c r="F521" s="90" t="s">
        <v>20</v>
      </c>
      <c r="G521" s="150">
        <v>735</v>
      </c>
      <c r="H521" s="145">
        <f>H487</f>
        <v>0</v>
      </c>
      <c r="I521" s="146">
        <f t="shared" si="21"/>
        <v>0</v>
      </c>
    </row>
    <row r="522" spans="2:9" ht="22.8">
      <c r="B522" s="25" t="s">
        <v>77</v>
      </c>
      <c r="C522" s="101"/>
      <c r="D522" s="102"/>
      <c r="E522" s="100" t="s">
        <v>33</v>
      </c>
      <c r="F522" s="90" t="s">
        <v>20</v>
      </c>
      <c r="G522" s="150">
        <v>475</v>
      </c>
      <c r="H522" s="145">
        <f>H521</f>
        <v>0</v>
      </c>
      <c r="I522" s="146">
        <f t="shared" si="21"/>
        <v>0</v>
      </c>
    </row>
    <row r="523" spans="2:9" ht="22.8">
      <c r="B523" s="25" t="s">
        <v>78</v>
      </c>
      <c r="C523" s="94"/>
      <c r="D523" s="94"/>
      <c r="E523" s="103" t="s">
        <v>239</v>
      </c>
      <c r="F523" s="90" t="s">
        <v>15</v>
      </c>
      <c r="G523" s="150">
        <v>240</v>
      </c>
      <c r="H523" s="145">
        <f>H467</f>
        <v>0</v>
      </c>
      <c r="I523" s="146">
        <f t="shared" si="21"/>
        <v>0</v>
      </c>
    </row>
    <row r="524" spans="2:9" ht="13.8">
      <c r="B524" s="49"/>
      <c r="C524" s="359" t="s">
        <v>81</v>
      </c>
      <c r="D524" s="360"/>
      <c r="E524" s="361"/>
      <c r="F524" s="105"/>
      <c r="G524" s="106"/>
      <c r="H524" s="29" t="s">
        <v>12</v>
      </c>
      <c r="I524" s="167">
        <f>SUM(I514:I523)</f>
        <v>0</v>
      </c>
    </row>
    <row r="525" spans="2:9" ht="26.4">
      <c r="B525" s="41" t="s">
        <v>41</v>
      </c>
      <c r="C525" s="352" t="s">
        <v>147</v>
      </c>
      <c r="D525" s="353"/>
      <c r="E525" s="354"/>
      <c r="F525" s="354"/>
      <c r="G525" s="354"/>
      <c r="H525" s="354"/>
      <c r="I525" s="355"/>
    </row>
    <row r="526" spans="2:9" ht="26.4">
      <c r="B526" s="127" t="s">
        <v>83</v>
      </c>
      <c r="C526" s="340" t="s">
        <v>162</v>
      </c>
      <c r="D526" s="341"/>
      <c r="E526" s="342"/>
      <c r="F526" s="342"/>
      <c r="G526" s="342"/>
      <c r="H526" s="342"/>
      <c r="I526" s="343"/>
    </row>
    <row r="527" spans="2:9" ht="24">
      <c r="B527" s="43" t="s">
        <v>0</v>
      </c>
      <c r="C527" s="44" t="s">
        <v>45</v>
      </c>
      <c r="D527" s="128" t="s">
        <v>82</v>
      </c>
      <c r="E527" s="115" t="s">
        <v>42</v>
      </c>
      <c r="F527" s="126" t="s">
        <v>43</v>
      </c>
      <c r="G527" s="45" t="s">
        <v>1</v>
      </c>
      <c r="H527" s="46" t="s">
        <v>29</v>
      </c>
      <c r="I527" s="47" t="s">
        <v>30</v>
      </c>
    </row>
    <row r="528" spans="2:9" ht="13.2">
      <c r="B528" s="49" t="s">
        <v>65</v>
      </c>
      <c r="C528" s="50" t="s">
        <v>36</v>
      </c>
      <c r="D528" s="51"/>
      <c r="E528" s="52" t="s">
        <v>13</v>
      </c>
      <c r="F528" s="53"/>
      <c r="G528" s="54"/>
      <c r="H528" s="55"/>
      <c r="I528" s="56"/>
    </row>
    <row r="529" spans="2:9" ht="13.2">
      <c r="B529" s="49"/>
      <c r="C529" s="57"/>
      <c r="D529" s="58"/>
      <c r="E529" s="2" t="s">
        <v>2</v>
      </c>
      <c r="F529" s="3"/>
      <c r="G529" s="14"/>
      <c r="H529" s="59"/>
      <c r="I529" s="11"/>
    </row>
    <row r="530" spans="2:9" ht="12">
      <c r="B530" s="49" t="s">
        <v>66</v>
      </c>
      <c r="C530" s="60" t="s">
        <v>37</v>
      </c>
      <c r="D530" s="61"/>
      <c r="E530" s="62" t="s">
        <v>64</v>
      </c>
      <c r="F530" s="63" t="s">
        <v>12</v>
      </c>
      <c r="G530" s="64" t="s">
        <v>12</v>
      </c>
      <c r="H530" s="65" t="s">
        <v>12</v>
      </c>
      <c r="I530" s="66" t="s">
        <v>12</v>
      </c>
    </row>
    <row r="531" spans="2:9" ht="13.2">
      <c r="B531" s="25" t="s">
        <v>67</v>
      </c>
      <c r="C531" s="156"/>
      <c r="D531" s="157"/>
      <c r="E531" s="69" t="s">
        <v>35</v>
      </c>
      <c r="F531" s="70" t="s">
        <v>15</v>
      </c>
      <c r="G531" s="152">
        <v>408</v>
      </c>
      <c r="H531" s="145">
        <f>H514</f>
        <v>0</v>
      </c>
      <c r="I531" s="146">
        <f>ROUND($G531*H531,2)</f>
        <v>0</v>
      </c>
    </row>
    <row r="532" spans="2:9" ht="12">
      <c r="B532" s="78"/>
      <c r="C532" s="79"/>
      <c r="D532" s="80"/>
      <c r="E532" s="81" t="s">
        <v>16</v>
      </c>
      <c r="F532" s="82" t="s">
        <v>34</v>
      </c>
      <c r="G532" s="34"/>
      <c r="H532" s="144"/>
      <c r="I532" s="124" t="s">
        <v>12</v>
      </c>
    </row>
    <row r="533" spans="2:9" ht="13.2">
      <c r="B533" s="49" t="s">
        <v>71</v>
      </c>
      <c r="C533" s="50" t="s">
        <v>38</v>
      </c>
      <c r="D533" s="51"/>
      <c r="E533" s="52" t="s">
        <v>17</v>
      </c>
      <c r="F533" s="53"/>
      <c r="G533" s="133"/>
      <c r="H533" s="112"/>
      <c r="I533" s="56"/>
    </row>
    <row r="534" spans="2:9" ht="24">
      <c r="B534" s="49"/>
      <c r="C534" s="57"/>
      <c r="D534" s="58"/>
      <c r="E534" s="85" t="s">
        <v>63</v>
      </c>
      <c r="F534" s="3"/>
      <c r="G534" s="36"/>
      <c r="H534" s="35"/>
      <c r="I534" s="11"/>
    </row>
    <row r="535" spans="2:9" ht="12">
      <c r="B535" s="49" t="s">
        <v>72</v>
      </c>
      <c r="C535" s="87" t="s">
        <v>39</v>
      </c>
      <c r="D535" s="88"/>
      <c r="E535" s="89" t="s">
        <v>18</v>
      </c>
      <c r="F535" s="90" t="s">
        <v>12</v>
      </c>
      <c r="G535" s="91" t="s">
        <v>12</v>
      </c>
      <c r="H535" s="147"/>
      <c r="I535" s="66" t="s">
        <v>12</v>
      </c>
    </row>
    <row r="536" spans="2:9" ht="45.6">
      <c r="B536" s="25" t="s">
        <v>73</v>
      </c>
      <c r="C536" s="94"/>
      <c r="D536" s="95"/>
      <c r="E536" s="96" t="s">
        <v>19</v>
      </c>
      <c r="F536" s="90" t="s">
        <v>20</v>
      </c>
      <c r="G536" s="152">
        <v>306</v>
      </c>
      <c r="H536" s="145">
        <f>H518</f>
        <v>0</v>
      </c>
      <c r="I536" s="146">
        <f>ROUND($G536*H536,2)</f>
        <v>0</v>
      </c>
    </row>
    <row r="537" spans="2:9" ht="12">
      <c r="B537" s="49" t="s">
        <v>74</v>
      </c>
      <c r="C537" s="87" t="s">
        <v>40</v>
      </c>
      <c r="D537" s="88"/>
      <c r="E537" s="97" t="s">
        <v>22</v>
      </c>
      <c r="F537" s="90" t="s">
        <v>12</v>
      </c>
      <c r="G537" s="91" t="s">
        <v>12</v>
      </c>
      <c r="H537" s="147"/>
      <c r="I537" s="66" t="s">
        <v>12</v>
      </c>
    </row>
    <row r="538" spans="2:9" ht="34.200000000000003">
      <c r="B538" s="25" t="s">
        <v>75</v>
      </c>
      <c r="C538" s="98"/>
      <c r="D538" s="99"/>
      <c r="E538" s="100" t="s">
        <v>32</v>
      </c>
      <c r="F538" s="90" t="s">
        <v>20</v>
      </c>
      <c r="G538" s="152">
        <v>102.5</v>
      </c>
      <c r="H538" s="145">
        <f>H521</f>
        <v>0</v>
      </c>
      <c r="I538" s="146">
        <f>ROUND($G538*H538,2)</f>
        <v>0</v>
      </c>
    </row>
    <row r="539" spans="2:9" ht="13.8">
      <c r="B539" s="49"/>
      <c r="C539" s="344" t="s">
        <v>163</v>
      </c>
      <c r="D539" s="344"/>
      <c r="E539" s="344"/>
      <c r="F539" s="105"/>
      <c r="G539" s="34"/>
      <c r="H539" s="29" t="s">
        <v>12</v>
      </c>
      <c r="I539" s="108">
        <f>SUM(I531:I538)</f>
        <v>0</v>
      </c>
    </row>
    <row r="540" spans="2:9" ht="26.4">
      <c r="B540" s="41" t="s">
        <v>41</v>
      </c>
      <c r="C540" s="356" t="s">
        <v>44</v>
      </c>
      <c r="D540" s="357"/>
      <c r="E540" s="357"/>
      <c r="F540" s="357"/>
      <c r="G540" s="357"/>
      <c r="H540" s="357"/>
      <c r="I540" s="358"/>
    </row>
    <row r="541" spans="2:9" ht="26.4">
      <c r="B541" s="127" t="s">
        <v>83</v>
      </c>
      <c r="C541" s="340" t="s">
        <v>164</v>
      </c>
      <c r="D541" s="341"/>
      <c r="E541" s="342"/>
      <c r="F541" s="342"/>
      <c r="G541" s="342"/>
      <c r="H541" s="342"/>
      <c r="I541" s="343"/>
    </row>
    <row r="542" spans="2:9" ht="24">
      <c r="B542" s="43" t="s">
        <v>0</v>
      </c>
      <c r="C542" s="44" t="s">
        <v>45</v>
      </c>
      <c r="D542" s="128" t="s">
        <v>82</v>
      </c>
      <c r="E542" s="115" t="s">
        <v>42</v>
      </c>
      <c r="F542" s="126" t="s">
        <v>43</v>
      </c>
      <c r="G542" s="45" t="s">
        <v>1</v>
      </c>
      <c r="H542" s="46" t="s">
        <v>29</v>
      </c>
      <c r="I542" s="47" t="s">
        <v>30</v>
      </c>
    </row>
    <row r="543" spans="2:9" ht="13.2">
      <c r="B543" s="49" t="s">
        <v>65</v>
      </c>
      <c r="C543" s="50" t="s">
        <v>36</v>
      </c>
      <c r="D543" s="51"/>
      <c r="E543" s="52" t="s">
        <v>13</v>
      </c>
      <c r="F543" s="53"/>
      <c r="G543" s="148"/>
      <c r="H543" s="55"/>
      <c r="I543" s="56"/>
    </row>
    <row r="544" spans="2:9" ht="13.2">
      <c r="B544" s="49"/>
      <c r="C544" s="57"/>
      <c r="D544" s="58"/>
      <c r="E544" s="2" t="s">
        <v>2</v>
      </c>
      <c r="F544" s="3"/>
      <c r="G544" s="149"/>
      <c r="H544" s="59"/>
      <c r="I544" s="11"/>
    </row>
    <row r="545" spans="2:9" ht="12">
      <c r="B545" s="49" t="s">
        <v>66</v>
      </c>
      <c r="C545" s="60" t="s">
        <v>37</v>
      </c>
      <c r="D545" s="61"/>
      <c r="E545" s="62" t="s">
        <v>64</v>
      </c>
      <c r="F545" s="63" t="s">
        <v>12</v>
      </c>
      <c r="G545" s="64" t="s">
        <v>12</v>
      </c>
      <c r="H545" s="65" t="s">
        <v>12</v>
      </c>
      <c r="I545" s="66" t="s">
        <v>12</v>
      </c>
    </row>
    <row r="546" spans="2:9" ht="13.2">
      <c r="B546" s="25" t="s">
        <v>67</v>
      </c>
      <c r="C546" s="67"/>
      <c r="D546" s="68"/>
      <c r="E546" s="69" t="s">
        <v>35</v>
      </c>
      <c r="F546" s="70" t="s">
        <v>15</v>
      </c>
      <c r="G546" s="150">
        <v>124.75</v>
      </c>
      <c r="H546" s="145">
        <f>H531</f>
        <v>0</v>
      </c>
      <c r="I546" s="146">
        <f>ROUND($G546*H546,2)</f>
        <v>0</v>
      </c>
    </row>
    <row r="547" spans="2:9" ht="13.2">
      <c r="B547" s="25" t="s">
        <v>68</v>
      </c>
      <c r="C547" s="76"/>
      <c r="D547" s="76"/>
      <c r="E547" s="77" t="s">
        <v>105</v>
      </c>
      <c r="F547" s="70" t="s">
        <v>5</v>
      </c>
      <c r="G547" s="150">
        <v>3.36</v>
      </c>
      <c r="H547" s="145">
        <f>H546</f>
        <v>0</v>
      </c>
      <c r="I547" s="146">
        <f>ROUND($G547*H547,2)</f>
        <v>0</v>
      </c>
    </row>
    <row r="548" spans="2:9" ht="12">
      <c r="B548" s="78"/>
      <c r="C548" s="79"/>
      <c r="D548" s="80"/>
      <c r="E548" s="81" t="s">
        <v>16</v>
      </c>
      <c r="F548" s="82" t="s">
        <v>34</v>
      </c>
      <c r="G548" s="153"/>
      <c r="H548" s="144"/>
      <c r="I548" s="124" t="s">
        <v>12</v>
      </c>
    </row>
    <row r="549" spans="2:9" ht="13.2">
      <c r="B549" s="49" t="s">
        <v>71</v>
      </c>
      <c r="C549" s="50" t="s">
        <v>38</v>
      </c>
      <c r="D549" s="51"/>
      <c r="E549" s="52" t="s">
        <v>17</v>
      </c>
      <c r="F549" s="53"/>
      <c r="G549" s="148"/>
      <c r="H549" s="112"/>
      <c r="I549" s="56"/>
    </row>
    <row r="550" spans="2:9" ht="24">
      <c r="B550" s="49"/>
      <c r="C550" s="57"/>
      <c r="D550" s="58"/>
      <c r="E550" s="85" t="s">
        <v>63</v>
      </c>
      <c r="F550" s="3"/>
      <c r="G550" s="149"/>
      <c r="H550" s="35"/>
      <c r="I550" s="11"/>
    </row>
    <row r="551" spans="2:9" ht="12">
      <c r="B551" s="49" t="s">
        <v>72</v>
      </c>
      <c r="C551" s="87" t="s">
        <v>39</v>
      </c>
      <c r="D551" s="88"/>
      <c r="E551" s="89" t="s">
        <v>18</v>
      </c>
      <c r="F551" s="90" t="s">
        <v>12</v>
      </c>
      <c r="G551" s="91" t="s">
        <v>12</v>
      </c>
      <c r="H551" s="147"/>
      <c r="I551" s="66" t="s">
        <v>12</v>
      </c>
    </row>
    <row r="552" spans="2:9" ht="45.6">
      <c r="B552" s="25" t="s">
        <v>73</v>
      </c>
      <c r="C552" s="94"/>
      <c r="D552" s="95"/>
      <c r="E552" s="96" t="s">
        <v>19</v>
      </c>
      <c r="F552" s="90" t="s">
        <v>20</v>
      </c>
      <c r="G552" s="150">
        <v>2219.1999999999998</v>
      </c>
      <c r="H552" s="145">
        <f>H536</f>
        <v>0</v>
      </c>
      <c r="I552" s="146">
        <f>ROUND($G552*H552,2)</f>
        <v>0</v>
      </c>
    </row>
    <row r="553" spans="2:9" ht="12">
      <c r="B553" s="49" t="s">
        <v>74</v>
      </c>
      <c r="C553" s="87" t="s">
        <v>40</v>
      </c>
      <c r="D553" s="88"/>
      <c r="E553" s="97" t="s">
        <v>22</v>
      </c>
      <c r="F553" s="90" t="s">
        <v>12</v>
      </c>
      <c r="G553" s="91" t="s">
        <v>12</v>
      </c>
      <c r="H553" s="147"/>
      <c r="I553" s="66" t="s">
        <v>12</v>
      </c>
    </row>
    <row r="554" spans="2:9" ht="34.200000000000003">
      <c r="B554" s="25" t="s">
        <v>75</v>
      </c>
      <c r="C554" s="98"/>
      <c r="D554" s="99"/>
      <c r="E554" s="100" t="s">
        <v>32</v>
      </c>
      <c r="F554" s="90" t="s">
        <v>20</v>
      </c>
      <c r="G554" s="150">
        <v>501</v>
      </c>
      <c r="H554" s="145">
        <f>H538</f>
        <v>0</v>
      </c>
      <c r="I554" s="146">
        <f t="shared" ref="I554:I558" si="22">ROUND($G554*H554,2)</f>
        <v>0</v>
      </c>
    </row>
    <row r="555" spans="2:9" ht="34.200000000000003">
      <c r="B555" s="25" t="s">
        <v>76</v>
      </c>
      <c r="C555" s="101"/>
      <c r="D555" s="102"/>
      <c r="E555" s="100" t="s">
        <v>24</v>
      </c>
      <c r="F555" s="90" t="s">
        <v>20</v>
      </c>
      <c r="G555" s="150">
        <v>196.56</v>
      </c>
      <c r="H555" s="145">
        <f>H554</f>
        <v>0</v>
      </c>
      <c r="I555" s="146">
        <f t="shared" si="22"/>
        <v>0</v>
      </c>
    </row>
    <row r="556" spans="2:9" ht="22.8">
      <c r="B556" s="25" t="s">
        <v>77</v>
      </c>
      <c r="C556" s="101"/>
      <c r="D556" s="102"/>
      <c r="E556" s="100" t="s">
        <v>33</v>
      </c>
      <c r="F556" s="90" t="s">
        <v>20</v>
      </c>
      <c r="G556" s="150">
        <v>255</v>
      </c>
      <c r="H556" s="145">
        <f>H555</f>
        <v>0</v>
      </c>
      <c r="I556" s="146">
        <f t="shared" si="22"/>
        <v>0</v>
      </c>
    </row>
    <row r="557" spans="2:9" ht="22.8">
      <c r="B557" s="25" t="s">
        <v>95</v>
      </c>
      <c r="C557" s="113"/>
      <c r="D557" s="113"/>
      <c r="E557" s="103" t="s">
        <v>96</v>
      </c>
      <c r="F557" s="90" t="s">
        <v>20</v>
      </c>
      <c r="G557" s="150">
        <v>572.70000000000005</v>
      </c>
      <c r="H557" s="145">
        <f>H556</f>
        <v>0</v>
      </c>
      <c r="I557" s="146">
        <f t="shared" si="22"/>
        <v>0</v>
      </c>
    </row>
    <row r="558" spans="2:9" ht="22.8">
      <c r="B558" s="25" t="s">
        <v>78</v>
      </c>
      <c r="C558" s="94"/>
      <c r="D558" s="94"/>
      <c r="E558" s="103" t="s">
        <v>239</v>
      </c>
      <c r="F558" s="90" t="s">
        <v>15</v>
      </c>
      <c r="G558" s="150">
        <v>195</v>
      </c>
      <c r="H558" s="145">
        <f>H523</f>
        <v>0</v>
      </c>
      <c r="I558" s="146">
        <f t="shared" si="22"/>
        <v>0</v>
      </c>
    </row>
    <row r="559" spans="2:9" ht="13.8">
      <c r="B559" s="49"/>
      <c r="C559" s="359" t="s">
        <v>81</v>
      </c>
      <c r="D559" s="360"/>
      <c r="E559" s="361"/>
      <c r="F559" s="194"/>
      <c r="G559" s="106"/>
      <c r="H559" s="29" t="s">
        <v>12</v>
      </c>
      <c r="I559" s="108">
        <f>SUM(I546:I558)</f>
        <v>0</v>
      </c>
    </row>
    <row r="560" spans="2:9" ht="26.4">
      <c r="B560" s="127" t="s">
        <v>83</v>
      </c>
      <c r="C560" s="340" t="s">
        <v>165</v>
      </c>
      <c r="D560" s="341"/>
      <c r="E560" s="342"/>
      <c r="F560" s="342"/>
      <c r="G560" s="342"/>
      <c r="H560" s="342"/>
      <c r="I560" s="343"/>
    </row>
    <row r="561" spans="2:9" ht="24">
      <c r="B561" s="43" t="s">
        <v>0</v>
      </c>
      <c r="C561" s="44" t="s">
        <v>45</v>
      </c>
      <c r="D561" s="128" t="s">
        <v>82</v>
      </c>
      <c r="E561" s="115" t="s">
        <v>42</v>
      </c>
      <c r="F561" s="126" t="s">
        <v>43</v>
      </c>
      <c r="G561" s="45" t="s">
        <v>1</v>
      </c>
      <c r="H561" s="46" t="s">
        <v>29</v>
      </c>
      <c r="I561" s="47" t="s">
        <v>30</v>
      </c>
    </row>
    <row r="562" spans="2:9" ht="13.2">
      <c r="B562" s="49" t="s">
        <v>65</v>
      </c>
      <c r="C562" s="50" t="s">
        <v>36</v>
      </c>
      <c r="D562" s="51"/>
      <c r="E562" s="52" t="s">
        <v>13</v>
      </c>
      <c r="F562" s="53"/>
      <c r="G562" s="148"/>
      <c r="H562" s="55"/>
      <c r="I562" s="56"/>
    </row>
    <row r="563" spans="2:9" ht="13.2">
      <c r="B563" s="49"/>
      <c r="C563" s="57"/>
      <c r="D563" s="58"/>
      <c r="E563" s="2" t="s">
        <v>2</v>
      </c>
      <c r="F563" s="3"/>
      <c r="G563" s="149"/>
      <c r="H563" s="59"/>
      <c r="I563" s="11"/>
    </row>
    <row r="564" spans="2:9" ht="12">
      <c r="B564" s="49" t="s">
        <v>66</v>
      </c>
      <c r="C564" s="60" t="s">
        <v>37</v>
      </c>
      <c r="D564" s="61"/>
      <c r="E564" s="62" t="s">
        <v>64</v>
      </c>
      <c r="F564" s="63" t="s">
        <v>12</v>
      </c>
      <c r="G564" s="64" t="s">
        <v>12</v>
      </c>
      <c r="H564" s="65" t="s">
        <v>12</v>
      </c>
      <c r="I564" s="66" t="s">
        <v>12</v>
      </c>
    </row>
    <row r="565" spans="2:9" ht="13.2">
      <c r="B565" s="25" t="s">
        <v>67</v>
      </c>
      <c r="C565" s="67"/>
      <c r="D565" s="68"/>
      <c r="E565" s="69" t="s">
        <v>35</v>
      </c>
      <c r="F565" s="70" t="s">
        <v>15</v>
      </c>
      <c r="G565" s="150">
        <v>85</v>
      </c>
      <c r="H565" s="195">
        <f>H546</f>
        <v>0</v>
      </c>
      <c r="I565" s="196">
        <f>ROUND($G565*H565,2)</f>
        <v>0</v>
      </c>
    </row>
    <row r="566" spans="2:9" ht="13.2">
      <c r="B566" s="25" t="s">
        <v>68</v>
      </c>
      <c r="C566" s="74"/>
      <c r="D566" s="75"/>
      <c r="E566" s="69" t="s">
        <v>60</v>
      </c>
      <c r="F566" s="70" t="s">
        <v>14</v>
      </c>
      <c r="G566" s="150">
        <v>715</v>
      </c>
      <c r="H566" s="195">
        <f>H477</f>
        <v>0</v>
      </c>
      <c r="I566" s="196">
        <f>ROUND($G566*H566,2)</f>
        <v>0</v>
      </c>
    </row>
    <row r="567" spans="2:9">
      <c r="B567" s="25" t="s">
        <v>69</v>
      </c>
      <c r="C567" s="110"/>
      <c r="D567" s="110"/>
      <c r="E567" s="77" t="s">
        <v>90</v>
      </c>
      <c r="F567" s="70" t="s">
        <v>91</v>
      </c>
      <c r="G567" s="150">
        <v>14.15</v>
      </c>
      <c r="H567" s="195">
        <v>0</v>
      </c>
      <c r="I567" s="196">
        <f>ROUND($G567*H567,2)</f>
        <v>0</v>
      </c>
    </row>
    <row r="568" spans="2:9">
      <c r="B568" s="25" t="s">
        <v>70</v>
      </c>
      <c r="C568" s="110"/>
      <c r="D568" s="110"/>
      <c r="E568" s="77" t="s">
        <v>105</v>
      </c>
      <c r="F568" s="70" t="s">
        <v>5</v>
      </c>
      <c r="G568" s="150">
        <v>3.5</v>
      </c>
      <c r="H568" s="195">
        <f>H565</f>
        <v>0</v>
      </c>
      <c r="I568" s="196">
        <f>ROUND($G568*H568,2)</f>
        <v>0</v>
      </c>
    </row>
    <row r="569" spans="2:9" ht="12">
      <c r="B569" s="78"/>
      <c r="C569" s="79"/>
      <c r="D569" s="80"/>
      <c r="E569" s="81" t="s">
        <v>16</v>
      </c>
      <c r="F569" s="82" t="s">
        <v>34</v>
      </c>
      <c r="G569" s="153"/>
      <c r="H569" s="144"/>
      <c r="I569" s="124" t="s">
        <v>12</v>
      </c>
    </row>
    <row r="570" spans="2:9" ht="13.2">
      <c r="B570" s="49" t="s">
        <v>71</v>
      </c>
      <c r="C570" s="50" t="s">
        <v>38</v>
      </c>
      <c r="D570" s="51"/>
      <c r="E570" s="52" t="s">
        <v>17</v>
      </c>
      <c r="F570" s="53"/>
      <c r="G570" s="148"/>
      <c r="H570" s="197"/>
      <c r="I570" s="198"/>
    </row>
    <row r="571" spans="2:9" ht="24">
      <c r="B571" s="49"/>
      <c r="C571" s="57"/>
      <c r="D571" s="58"/>
      <c r="E571" s="85" t="s">
        <v>63</v>
      </c>
      <c r="F571" s="3"/>
      <c r="G571" s="149"/>
      <c r="H571" s="35"/>
      <c r="I571" s="35"/>
    </row>
    <row r="572" spans="2:9" ht="12">
      <c r="B572" s="49" t="s">
        <v>72</v>
      </c>
      <c r="C572" s="87" t="s">
        <v>39</v>
      </c>
      <c r="D572" s="88"/>
      <c r="E572" s="89" t="s">
        <v>18</v>
      </c>
      <c r="F572" s="90" t="s">
        <v>12</v>
      </c>
      <c r="G572" s="91" t="s">
        <v>12</v>
      </c>
      <c r="H572" s="147"/>
      <c r="I572" s="66" t="s">
        <v>12</v>
      </c>
    </row>
    <row r="573" spans="2:9" ht="45.6">
      <c r="B573" s="25" t="s">
        <v>73</v>
      </c>
      <c r="C573" s="94"/>
      <c r="D573" s="95"/>
      <c r="E573" s="96" t="s">
        <v>19</v>
      </c>
      <c r="F573" s="90" t="s">
        <v>20</v>
      </c>
      <c r="G573" s="150">
        <v>2731.8</v>
      </c>
      <c r="H573" s="195">
        <f>H552</f>
        <v>0</v>
      </c>
      <c r="I573" s="196">
        <f>ROUND($G573*H573,2)</f>
        <v>0</v>
      </c>
    </row>
    <row r="574" spans="2:9" ht="12">
      <c r="B574" s="49" t="s">
        <v>74</v>
      </c>
      <c r="C574" s="87" t="s">
        <v>40</v>
      </c>
      <c r="D574" s="88"/>
      <c r="E574" s="97" t="s">
        <v>22</v>
      </c>
      <c r="F574" s="90" t="s">
        <v>12</v>
      </c>
      <c r="G574" s="91" t="s">
        <v>12</v>
      </c>
      <c r="H574" s="147"/>
      <c r="I574" s="66" t="s">
        <v>12</v>
      </c>
    </row>
    <row r="575" spans="2:9" ht="34.200000000000003">
      <c r="B575" s="25" t="s">
        <v>75</v>
      </c>
      <c r="C575" s="98"/>
      <c r="D575" s="99"/>
      <c r="E575" s="100" t="s">
        <v>32</v>
      </c>
      <c r="F575" s="90" t="s">
        <v>20</v>
      </c>
      <c r="G575" s="150">
        <v>570</v>
      </c>
      <c r="H575" s="195">
        <f>H555</f>
        <v>0</v>
      </c>
      <c r="I575" s="196">
        <f>ROUND($G575*H575,2)</f>
        <v>0</v>
      </c>
    </row>
    <row r="576" spans="2:9" ht="34.200000000000003">
      <c r="B576" s="25" t="s">
        <v>76</v>
      </c>
      <c r="C576" s="101"/>
      <c r="D576" s="102"/>
      <c r="E576" s="100" t="s">
        <v>24</v>
      </c>
      <c r="F576" s="90" t="s">
        <v>20</v>
      </c>
      <c r="G576" s="150">
        <v>256.8</v>
      </c>
      <c r="H576" s="195">
        <f>H575</f>
        <v>0</v>
      </c>
      <c r="I576" s="196">
        <f>ROUND($G576*H576,2)</f>
        <v>0</v>
      </c>
    </row>
    <row r="577" spans="2:9" ht="22.8">
      <c r="B577" s="25" t="s">
        <v>77</v>
      </c>
      <c r="C577" s="101"/>
      <c r="D577" s="102"/>
      <c r="E577" s="100" t="s">
        <v>33</v>
      </c>
      <c r="F577" s="90" t="s">
        <v>20</v>
      </c>
      <c r="G577" s="150">
        <v>190</v>
      </c>
      <c r="H577" s="195">
        <f>H576</f>
        <v>0</v>
      </c>
      <c r="I577" s="196">
        <f>ROUND($G577*H577,2)</f>
        <v>0</v>
      </c>
    </row>
    <row r="578" spans="2:9" ht="22.8">
      <c r="B578" s="25" t="s">
        <v>95</v>
      </c>
      <c r="C578" s="113"/>
      <c r="D578" s="113"/>
      <c r="E578" s="103" t="s">
        <v>96</v>
      </c>
      <c r="F578" s="90" t="s">
        <v>20</v>
      </c>
      <c r="G578" s="150">
        <v>787.8</v>
      </c>
      <c r="H578" s="195">
        <f>H577</f>
        <v>0</v>
      </c>
      <c r="I578" s="196">
        <f>ROUND($G578*H578,2)</f>
        <v>0</v>
      </c>
    </row>
    <row r="579" spans="2:9" ht="12">
      <c r="B579" s="49" t="s">
        <v>100</v>
      </c>
      <c r="C579" s="87" t="s">
        <v>101</v>
      </c>
      <c r="D579" s="87"/>
      <c r="E579" s="118" t="s">
        <v>102</v>
      </c>
      <c r="F579" s="90" t="s">
        <v>12</v>
      </c>
      <c r="G579" s="91" t="s">
        <v>12</v>
      </c>
      <c r="H579" s="147"/>
      <c r="I579" s="66" t="s">
        <v>12</v>
      </c>
    </row>
    <row r="580" spans="2:9" ht="22.8">
      <c r="B580" s="25" t="s">
        <v>78</v>
      </c>
      <c r="C580" s="94"/>
      <c r="D580" s="94"/>
      <c r="E580" s="103" t="s">
        <v>239</v>
      </c>
      <c r="F580" s="90" t="s">
        <v>15</v>
      </c>
      <c r="G580" s="150">
        <v>412.5</v>
      </c>
      <c r="H580" s="195">
        <f>H558</f>
        <v>0</v>
      </c>
      <c r="I580" s="196">
        <f>ROUND($G580*H580,2)</f>
        <v>0</v>
      </c>
    </row>
    <row r="581" spans="2:9" ht="13.8">
      <c r="B581" s="49"/>
      <c r="C581" s="359" t="s">
        <v>81</v>
      </c>
      <c r="D581" s="360"/>
      <c r="E581" s="361"/>
      <c r="F581" s="194"/>
      <c r="G581" s="106"/>
      <c r="H581" s="29" t="s">
        <v>12</v>
      </c>
      <c r="I581" s="108">
        <f>SUM(I565:I580)</f>
        <v>0</v>
      </c>
    </row>
    <row r="582" spans="2:9" ht="26.4">
      <c r="B582" s="41" t="s">
        <v>41</v>
      </c>
      <c r="C582" s="356" t="s">
        <v>44</v>
      </c>
      <c r="D582" s="357"/>
      <c r="E582" s="357"/>
      <c r="F582" s="357"/>
      <c r="G582" s="357"/>
      <c r="H582" s="357"/>
      <c r="I582" s="358"/>
    </row>
    <row r="583" spans="2:9" ht="26.4">
      <c r="B583" s="127" t="s">
        <v>83</v>
      </c>
      <c r="C583" s="340" t="s">
        <v>166</v>
      </c>
      <c r="D583" s="341"/>
      <c r="E583" s="342"/>
      <c r="F583" s="342"/>
      <c r="G583" s="342"/>
      <c r="H583" s="342"/>
      <c r="I583" s="343"/>
    </row>
    <row r="584" spans="2:9" ht="24">
      <c r="B584" s="43" t="s">
        <v>0</v>
      </c>
      <c r="C584" s="44" t="s">
        <v>45</v>
      </c>
      <c r="D584" s="128" t="s">
        <v>82</v>
      </c>
      <c r="E584" s="115" t="s">
        <v>42</v>
      </c>
      <c r="F584" s="126" t="s">
        <v>43</v>
      </c>
      <c r="G584" s="45" t="s">
        <v>1</v>
      </c>
      <c r="H584" s="46" t="s">
        <v>29</v>
      </c>
      <c r="I584" s="47" t="s">
        <v>30</v>
      </c>
    </row>
    <row r="585" spans="2:9" ht="13.2">
      <c r="B585" s="49" t="s">
        <v>65</v>
      </c>
      <c r="C585" s="50" t="s">
        <v>36</v>
      </c>
      <c r="D585" s="51"/>
      <c r="E585" s="52" t="s">
        <v>13</v>
      </c>
      <c r="F585" s="53"/>
      <c r="G585" s="54"/>
      <c r="H585" s="55"/>
      <c r="I585" s="56"/>
    </row>
    <row r="586" spans="2:9" ht="13.2">
      <c r="B586" s="49"/>
      <c r="C586" s="57"/>
      <c r="D586" s="58"/>
      <c r="E586" s="2" t="s">
        <v>2</v>
      </c>
      <c r="F586" s="3"/>
      <c r="G586" s="14"/>
      <c r="H586" s="59"/>
      <c r="I586" s="11"/>
    </row>
    <row r="587" spans="2:9" ht="12">
      <c r="B587" s="49" t="s">
        <v>66</v>
      </c>
      <c r="C587" s="60" t="s">
        <v>37</v>
      </c>
      <c r="D587" s="61"/>
      <c r="E587" s="62" t="s">
        <v>64</v>
      </c>
      <c r="F587" s="63" t="s">
        <v>12</v>
      </c>
      <c r="G587" s="64" t="s">
        <v>12</v>
      </c>
      <c r="H587" s="65" t="s">
        <v>12</v>
      </c>
      <c r="I587" s="66" t="s">
        <v>12</v>
      </c>
    </row>
    <row r="588" spans="2:9" ht="13.2">
      <c r="B588" s="25" t="s">
        <v>67</v>
      </c>
      <c r="C588" s="67"/>
      <c r="D588" s="68"/>
      <c r="E588" s="69" t="s">
        <v>35</v>
      </c>
      <c r="F588" s="70" t="s">
        <v>15</v>
      </c>
      <c r="G588" s="152">
        <v>260</v>
      </c>
      <c r="H588" s="195">
        <f>H565</f>
        <v>0</v>
      </c>
      <c r="I588" s="196">
        <f>ROUND($G588*H588,2)</f>
        <v>0</v>
      </c>
    </row>
    <row r="589" spans="2:9" ht="13.2">
      <c r="B589" s="25" t="s">
        <v>68</v>
      </c>
      <c r="C589" s="74"/>
      <c r="D589" s="75"/>
      <c r="E589" s="69" t="s">
        <v>146</v>
      </c>
      <c r="F589" s="70" t="s">
        <v>14</v>
      </c>
      <c r="G589" s="152">
        <v>1.5</v>
      </c>
      <c r="H589" s="195">
        <f>H566</f>
        <v>0</v>
      </c>
      <c r="I589" s="196">
        <f t="shared" ref="I589:I590" si="23">ROUND($G589*H589,2)</f>
        <v>0</v>
      </c>
    </row>
    <row r="590" spans="2:9">
      <c r="B590" s="25" t="s">
        <v>69</v>
      </c>
      <c r="C590" s="110"/>
      <c r="D590" s="110"/>
      <c r="E590" s="77" t="s">
        <v>105</v>
      </c>
      <c r="F590" s="70" t="s">
        <v>5</v>
      </c>
      <c r="G590" s="152">
        <v>18</v>
      </c>
      <c r="H590" s="195">
        <f>H588</f>
        <v>0</v>
      </c>
      <c r="I590" s="196">
        <f t="shared" si="23"/>
        <v>0</v>
      </c>
    </row>
    <row r="591" spans="2:9" ht="12">
      <c r="B591" s="78"/>
      <c r="C591" s="79"/>
      <c r="D591" s="80"/>
      <c r="E591" s="81" t="s">
        <v>16</v>
      </c>
      <c r="F591" s="82" t="s">
        <v>34</v>
      </c>
      <c r="G591" s="34"/>
      <c r="H591" s="144"/>
      <c r="I591" s="124" t="s">
        <v>12</v>
      </c>
    </row>
    <row r="592" spans="2:9" ht="13.2">
      <c r="B592" s="49" t="s">
        <v>71</v>
      </c>
      <c r="C592" s="50" t="s">
        <v>38</v>
      </c>
      <c r="D592" s="51"/>
      <c r="E592" s="52" t="s">
        <v>17</v>
      </c>
      <c r="F592" s="53"/>
      <c r="G592" s="133"/>
      <c r="H592" s="197"/>
      <c r="I592" s="198"/>
    </row>
    <row r="593" spans="2:9" ht="24">
      <c r="B593" s="49"/>
      <c r="C593" s="57"/>
      <c r="D593" s="58"/>
      <c r="E593" s="85" t="s">
        <v>63</v>
      </c>
      <c r="F593" s="3"/>
      <c r="G593" s="36"/>
      <c r="H593" s="35"/>
      <c r="I593" s="35"/>
    </row>
    <row r="594" spans="2:9" ht="12">
      <c r="B594" s="49" t="s">
        <v>72</v>
      </c>
      <c r="C594" s="87" t="s">
        <v>39</v>
      </c>
      <c r="D594" s="88"/>
      <c r="E594" s="89" t="s">
        <v>18</v>
      </c>
      <c r="F594" s="90" t="s">
        <v>12</v>
      </c>
      <c r="G594" s="91" t="s">
        <v>12</v>
      </c>
      <c r="H594" s="147"/>
      <c r="I594" s="66" t="s">
        <v>12</v>
      </c>
    </row>
    <row r="595" spans="2:9" ht="45.6">
      <c r="B595" s="25" t="s">
        <v>73</v>
      </c>
      <c r="C595" s="94"/>
      <c r="D595" s="95"/>
      <c r="E595" s="96" t="s">
        <v>19</v>
      </c>
      <c r="F595" s="90" t="s">
        <v>20</v>
      </c>
      <c r="G595" s="152">
        <v>515</v>
      </c>
      <c r="H595" s="195">
        <f>H573</f>
        <v>0</v>
      </c>
      <c r="I595" s="196">
        <f>ROUND($G595*H595,2)</f>
        <v>0</v>
      </c>
    </row>
    <row r="596" spans="2:9" ht="12">
      <c r="B596" s="49" t="s">
        <v>74</v>
      </c>
      <c r="C596" s="87" t="s">
        <v>40</v>
      </c>
      <c r="D596" s="88"/>
      <c r="E596" s="97" t="s">
        <v>22</v>
      </c>
      <c r="F596" s="90" t="s">
        <v>12</v>
      </c>
      <c r="G596" s="91" t="s">
        <v>12</v>
      </c>
      <c r="H596" s="147"/>
      <c r="I596" s="66" t="s">
        <v>12</v>
      </c>
    </row>
    <row r="597" spans="2:9" ht="22.8">
      <c r="B597" s="25" t="s">
        <v>75</v>
      </c>
      <c r="C597" s="113"/>
      <c r="D597" s="113"/>
      <c r="E597" s="103" t="s">
        <v>96</v>
      </c>
      <c r="F597" s="90" t="s">
        <v>20</v>
      </c>
      <c r="G597" s="152">
        <v>200</v>
      </c>
      <c r="H597" s="195">
        <f>H575</f>
        <v>0</v>
      </c>
      <c r="I597" s="196">
        <f>ROUND($G597*H597,2)</f>
        <v>0</v>
      </c>
    </row>
    <row r="598" spans="2:9" ht="13.8">
      <c r="B598" s="49"/>
      <c r="C598" s="359" t="s">
        <v>81</v>
      </c>
      <c r="D598" s="360"/>
      <c r="E598" s="361"/>
      <c r="F598" s="105"/>
      <c r="G598" s="34"/>
      <c r="H598" s="29" t="s">
        <v>12</v>
      </c>
      <c r="I598" s="108">
        <f>SUM(I588:I597)</f>
        <v>0</v>
      </c>
    </row>
    <row r="599" spans="2:9" ht="26.4">
      <c r="B599" s="127" t="s">
        <v>83</v>
      </c>
      <c r="C599" s="340" t="s">
        <v>167</v>
      </c>
      <c r="D599" s="341"/>
      <c r="E599" s="342"/>
      <c r="F599" s="342"/>
      <c r="G599" s="342"/>
      <c r="H599" s="342"/>
      <c r="I599" s="343"/>
    </row>
    <row r="600" spans="2:9" ht="24">
      <c r="B600" s="43" t="s">
        <v>0</v>
      </c>
      <c r="C600" s="44" t="s">
        <v>45</v>
      </c>
      <c r="D600" s="128" t="s">
        <v>82</v>
      </c>
      <c r="E600" s="115" t="s">
        <v>42</v>
      </c>
      <c r="F600" s="126" t="s">
        <v>43</v>
      </c>
      <c r="G600" s="126" t="s">
        <v>1</v>
      </c>
      <c r="H600" s="46" t="s">
        <v>29</v>
      </c>
      <c r="I600" s="47" t="s">
        <v>30</v>
      </c>
    </row>
    <row r="601" spans="2:9" ht="13.2">
      <c r="B601" s="49" t="s">
        <v>65</v>
      </c>
      <c r="C601" s="50" t="s">
        <v>36</v>
      </c>
      <c r="D601" s="51"/>
      <c r="E601" s="52" t="s">
        <v>13</v>
      </c>
      <c r="F601" s="53"/>
      <c r="G601" s="54"/>
      <c r="H601" s="112"/>
      <c r="I601" s="56"/>
    </row>
    <row r="602" spans="2:9" ht="13.2">
      <c r="B602" s="49"/>
      <c r="C602" s="57"/>
      <c r="D602" s="58"/>
      <c r="E602" s="2" t="s">
        <v>2</v>
      </c>
      <c r="F602" s="3"/>
      <c r="G602" s="14"/>
      <c r="H602" s="37"/>
      <c r="I602" s="35"/>
    </row>
    <row r="603" spans="2:9" ht="12">
      <c r="B603" s="49" t="s">
        <v>66</v>
      </c>
      <c r="C603" s="60" t="s">
        <v>37</v>
      </c>
      <c r="D603" s="61"/>
      <c r="E603" s="62" t="s">
        <v>64</v>
      </c>
      <c r="F603" s="63" t="s">
        <v>12</v>
      </c>
      <c r="G603" s="64" t="s">
        <v>12</v>
      </c>
      <c r="H603" s="199" t="s">
        <v>12</v>
      </c>
      <c r="I603" s="66" t="s">
        <v>12</v>
      </c>
    </row>
    <row r="604" spans="2:9" ht="13.2">
      <c r="B604" s="25" t="s">
        <v>67</v>
      </c>
      <c r="C604" s="67"/>
      <c r="D604" s="68"/>
      <c r="E604" s="62" t="s">
        <v>35</v>
      </c>
      <c r="F604" s="174" t="s">
        <v>15</v>
      </c>
      <c r="G604" s="152">
        <v>204</v>
      </c>
      <c r="H604" s="195">
        <f>H588</f>
        <v>0</v>
      </c>
      <c r="I604" s="196">
        <f>ROUND($G604*H604,2)</f>
        <v>0</v>
      </c>
    </row>
    <row r="605" spans="2:9" ht="12">
      <c r="B605" s="78"/>
      <c r="C605" s="79"/>
      <c r="D605" s="80"/>
      <c r="E605" s="81" t="s">
        <v>16</v>
      </c>
      <c r="F605" s="82" t="s">
        <v>34</v>
      </c>
      <c r="G605" s="34"/>
      <c r="H605" s="144"/>
      <c r="I605" s="124" t="s">
        <v>12</v>
      </c>
    </row>
    <row r="606" spans="2:9" ht="13.2">
      <c r="B606" s="49" t="s">
        <v>71</v>
      </c>
      <c r="C606" s="50" t="s">
        <v>38</v>
      </c>
      <c r="D606" s="51"/>
      <c r="E606" s="52" t="s">
        <v>17</v>
      </c>
      <c r="F606" s="53"/>
      <c r="G606" s="133"/>
      <c r="H606" s="197"/>
      <c r="I606" s="198"/>
    </row>
    <row r="607" spans="2:9" ht="24">
      <c r="B607" s="49"/>
      <c r="C607" s="57"/>
      <c r="D607" s="58"/>
      <c r="E607" s="85" t="s">
        <v>63</v>
      </c>
      <c r="F607" s="3"/>
      <c r="G607" s="36"/>
      <c r="H607" s="35"/>
      <c r="I607" s="35"/>
    </row>
    <row r="608" spans="2:9" ht="12">
      <c r="B608" s="49" t="s">
        <v>72</v>
      </c>
      <c r="C608" s="87" t="s">
        <v>39</v>
      </c>
      <c r="D608" s="88"/>
      <c r="E608" s="89" t="s">
        <v>18</v>
      </c>
      <c r="F608" s="90" t="s">
        <v>12</v>
      </c>
      <c r="G608" s="91" t="s">
        <v>12</v>
      </c>
      <c r="H608" s="200"/>
      <c r="I608" s="66" t="s">
        <v>12</v>
      </c>
    </row>
    <row r="609" spans="2:9" ht="45.6">
      <c r="B609" s="25" t="s">
        <v>73</v>
      </c>
      <c r="C609" s="94"/>
      <c r="D609" s="95"/>
      <c r="E609" s="96" t="s">
        <v>19</v>
      </c>
      <c r="F609" s="90" t="s">
        <v>20</v>
      </c>
      <c r="G609" s="152">
        <v>590</v>
      </c>
      <c r="H609" s="195">
        <f>H595</f>
        <v>0</v>
      </c>
      <c r="I609" s="196">
        <f>ROUND($G609*H609,2)</f>
        <v>0</v>
      </c>
    </row>
    <row r="610" spans="2:9" ht="13.8">
      <c r="B610" s="49"/>
      <c r="C610" s="344"/>
      <c r="D610" s="344"/>
      <c r="E610" s="344"/>
      <c r="F610" s="105"/>
      <c r="G610" s="34"/>
      <c r="H610" s="29" t="s">
        <v>12</v>
      </c>
      <c r="I610" s="108">
        <f>SUM(I604:I609)</f>
        <v>0</v>
      </c>
    </row>
    <row r="611" spans="2:9" ht="26.4">
      <c r="B611" s="41" t="s">
        <v>41</v>
      </c>
      <c r="C611" s="356" t="s">
        <v>44</v>
      </c>
      <c r="D611" s="357"/>
      <c r="E611" s="357"/>
      <c r="F611" s="357"/>
      <c r="G611" s="357"/>
      <c r="H611" s="357"/>
      <c r="I611" s="358"/>
    </row>
    <row r="612" spans="2:9" ht="26.4">
      <c r="B612" s="127" t="s">
        <v>83</v>
      </c>
      <c r="C612" s="340" t="s">
        <v>168</v>
      </c>
      <c r="D612" s="341"/>
      <c r="E612" s="342"/>
      <c r="F612" s="342"/>
      <c r="G612" s="342"/>
      <c r="H612" s="342"/>
      <c r="I612" s="343"/>
    </row>
    <row r="613" spans="2:9" ht="24">
      <c r="B613" s="43" t="s">
        <v>0</v>
      </c>
      <c r="C613" s="44" t="s">
        <v>45</v>
      </c>
      <c r="D613" s="128" t="s">
        <v>82</v>
      </c>
      <c r="E613" s="115" t="s">
        <v>42</v>
      </c>
      <c r="F613" s="126" t="s">
        <v>43</v>
      </c>
      <c r="G613" s="126" t="s">
        <v>1</v>
      </c>
      <c r="H613" s="46" t="s">
        <v>29</v>
      </c>
      <c r="I613" s="47" t="s">
        <v>30</v>
      </c>
    </row>
    <row r="614" spans="2:9" ht="13.2">
      <c r="B614" s="49" t="s">
        <v>65</v>
      </c>
      <c r="C614" s="50" t="s">
        <v>36</v>
      </c>
      <c r="D614" s="51"/>
      <c r="E614" s="52" t="s">
        <v>13</v>
      </c>
      <c r="F614" s="53"/>
      <c r="G614" s="54"/>
      <c r="H614" s="112"/>
      <c r="I614" s="56"/>
    </row>
    <row r="615" spans="2:9" ht="13.2">
      <c r="B615" s="49"/>
      <c r="C615" s="57"/>
      <c r="D615" s="58"/>
      <c r="E615" s="2" t="s">
        <v>2</v>
      </c>
      <c r="F615" s="3"/>
      <c r="G615" s="14"/>
      <c r="H615" s="37"/>
      <c r="I615" s="11"/>
    </row>
    <row r="616" spans="2:9" ht="12">
      <c r="B616" s="49" t="s">
        <v>66</v>
      </c>
      <c r="C616" s="60" t="s">
        <v>37</v>
      </c>
      <c r="D616" s="61"/>
      <c r="E616" s="62" t="s">
        <v>64</v>
      </c>
      <c r="F616" s="63" t="s">
        <v>12</v>
      </c>
      <c r="G616" s="64" t="s">
        <v>12</v>
      </c>
      <c r="H616" s="65" t="s">
        <v>12</v>
      </c>
      <c r="I616" s="66" t="s">
        <v>12</v>
      </c>
    </row>
    <row r="617" spans="2:9" ht="13.2">
      <c r="B617" s="25" t="s">
        <v>67</v>
      </c>
      <c r="C617" s="67"/>
      <c r="D617" s="68"/>
      <c r="E617" s="69" t="s">
        <v>35</v>
      </c>
      <c r="F617" s="70" t="s">
        <v>15</v>
      </c>
      <c r="G617" s="152">
        <v>430</v>
      </c>
      <c r="H617" s="72">
        <f>H604</f>
        <v>0</v>
      </c>
      <c r="I617" s="201">
        <f>ROUND($G617*H617,2)</f>
        <v>0</v>
      </c>
    </row>
    <row r="618" spans="2:9" ht="13.2">
      <c r="B618" s="25" t="s">
        <v>68</v>
      </c>
      <c r="C618" s="110"/>
      <c r="D618" s="110"/>
      <c r="E618" s="77" t="s">
        <v>90</v>
      </c>
      <c r="F618" s="70" t="s">
        <v>91</v>
      </c>
      <c r="G618" s="152">
        <v>0.5</v>
      </c>
      <c r="H618" s="72">
        <f>H567</f>
        <v>0</v>
      </c>
      <c r="I618" s="201">
        <f>ROUND($G618*H618,2)</f>
        <v>0</v>
      </c>
    </row>
    <row r="619" spans="2:9" ht="13.2">
      <c r="B619" s="78"/>
      <c r="C619" s="79"/>
      <c r="D619" s="80"/>
      <c r="E619" s="81" t="s">
        <v>16</v>
      </c>
      <c r="F619" s="82" t="s">
        <v>34</v>
      </c>
      <c r="G619" s="34"/>
      <c r="H619" s="116"/>
      <c r="I619" s="117" t="s">
        <v>12</v>
      </c>
    </row>
    <row r="620" spans="2:9" ht="13.2">
      <c r="B620" s="49" t="s">
        <v>71</v>
      </c>
      <c r="C620" s="50" t="s">
        <v>38</v>
      </c>
      <c r="D620" s="51"/>
      <c r="E620" s="52" t="s">
        <v>17</v>
      </c>
      <c r="F620" s="53"/>
      <c r="G620" s="133"/>
      <c r="H620" s="202"/>
      <c r="I620" s="56"/>
    </row>
    <row r="621" spans="2:9" ht="24">
      <c r="B621" s="49"/>
      <c r="C621" s="57"/>
      <c r="D621" s="58"/>
      <c r="E621" s="85" t="s">
        <v>63</v>
      </c>
      <c r="F621" s="3"/>
      <c r="G621" s="36"/>
      <c r="H621" s="30"/>
      <c r="I621" s="30"/>
    </row>
    <row r="622" spans="2:9" ht="13.2">
      <c r="B622" s="49" t="s">
        <v>72</v>
      </c>
      <c r="C622" s="87" t="s">
        <v>39</v>
      </c>
      <c r="D622" s="88"/>
      <c r="E622" s="89" t="s">
        <v>18</v>
      </c>
      <c r="F622" s="90" t="s">
        <v>12</v>
      </c>
      <c r="G622" s="91" t="s">
        <v>12</v>
      </c>
      <c r="H622" s="92"/>
      <c r="I622" s="93" t="s">
        <v>12</v>
      </c>
    </row>
    <row r="623" spans="2:9" ht="45.6">
      <c r="B623" s="25" t="s">
        <v>73</v>
      </c>
      <c r="C623" s="94"/>
      <c r="D623" s="95"/>
      <c r="E623" s="96" t="s">
        <v>19</v>
      </c>
      <c r="F623" s="90" t="s">
        <v>20</v>
      </c>
      <c r="G623" s="152">
        <v>1450</v>
      </c>
      <c r="H623" s="72">
        <f>H609</f>
        <v>0</v>
      </c>
      <c r="I623" s="201">
        <f>ROUND($G623*H623,2)</f>
        <v>0</v>
      </c>
    </row>
    <row r="624" spans="2:9" ht="13.2">
      <c r="B624" s="49" t="s">
        <v>74</v>
      </c>
      <c r="C624" s="87" t="s">
        <v>40</v>
      </c>
      <c r="D624" s="88"/>
      <c r="E624" s="97" t="s">
        <v>22</v>
      </c>
      <c r="F624" s="90" t="s">
        <v>12</v>
      </c>
      <c r="G624" s="91" t="s">
        <v>12</v>
      </c>
      <c r="H624" s="92"/>
      <c r="I624" s="93" t="s">
        <v>12</v>
      </c>
    </row>
    <row r="625" spans="2:9" ht="34.200000000000003">
      <c r="B625" s="25" t="s">
        <v>75</v>
      </c>
      <c r="C625" s="98"/>
      <c r="D625" s="99"/>
      <c r="E625" s="100" t="s">
        <v>32</v>
      </c>
      <c r="F625" s="90" t="s">
        <v>20</v>
      </c>
      <c r="G625" s="152">
        <v>550</v>
      </c>
      <c r="H625" s="72">
        <f>H578</f>
        <v>0</v>
      </c>
      <c r="I625" s="201">
        <f t="shared" ref="I625:I626" si="24">ROUND($G625*H625,2)</f>
        <v>0</v>
      </c>
    </row>
    <row r="626" spans="2:9" ht="22.8">
      <c r="B626" s="25" t="s">
        <v>76</v>
      </c>
      <c r="C626" s="113"/>
      <c r="D626" s="113"/>
      <c r="E626" s="103" t="s">
        <v>96</v>
      </c>
      <c r="F626" s="90" t="s">
        <v>20</v>
      </c>
      <c r="G626" s="152">
        <v>300</v>
      </c>
      <c r="H626" s="72">
        <f>H625</f>
        <v>0</v>
      </c>
      <c r="I626" s="201">
        <f t="shared" si="24"/>
        <v>0</v>
      </c>
    </row>
    <row r="627" spans="2:9" ht="13.2">
      <c r="B627" s="78"/>
      <c r="C627" s="119"/>
      <c r="D627" s="120"/>
      <c r="E627" s="121" t="s">
        <v>103</v>
      </c>
      <c r="F627" s="82"/>
      <c r="G627" s="34"/>
      <c r="H627" s="144"/>
      <c r="I627" s="124" t="s">
        <v>12</v>
      </c>
    </row>
    <row r="628" spans="2:9" ht="13.8">
      <c r="B628" s="49"/>
      <c r="C628" s="344" t="s">
        <v>81</v>
      </c>
      <c r="D628" s="344"/>
      <c r="E628" s="344"/>
      <c r="F628" s="105"/>
      <c r="G628" s="34"/>
      <c r="H628" s="29" t="s">
        <v>12</v>
      </c>
      <c r="I628" s="108">
        <f>SUM(I617:I626)</f>
        <v>0</v>
      </c>
    </row>
    <row r="629" spans="2:9" ht="26.4">
      <c r="B629" s="41" t="s">
        <v>41</v>
      </c>
      <c r="C629" s="356" t="s">
        <v>44</v>
      </c>
      <c r="D629" s="357"/>
      <c r="E629" s="357"/>
      <c r="F629" s="357"/>
      <c r="G629" s="357"/>
      <c r="H629" s="357"/>
      <c r="I629" s="358"/>
    </row>
    <row r="630" spans="2:9" ht="26.4">
      <c r="B630" s="127" t="s">
        <v>83</v>
      </c>
      <c r="C630" s="340" t="s">
        <v>169</v>
      </c>
      <c r="D630" s="341"/>
      <c r="E630" s="342"/>
      <c r="F630" s="342"/>
      <c r="G630" s="342"/>
      <c r="H630" s="342"/>
      <c r="I630" s="343"/>
    </row>
    <row r="631" spans="2:9" ht="24">
      <c r="B631" s="43" t="s">
        <v>0</v>
      </c>
      <c r="C631" s="44" t="s">
        <v>45</v>
      </c>
      <c r="D631" s="128" t="s">
        <v>82</v>
      </c>
      <c r="E631" s="115" t="s">
        <v>42</v>
      </c>
      <c r="F631" s="126" t="s">
        <v>43</v>
      </c>
      <c r="G631" s="126" t="s">
        <v>1</v>
      </c>
      <c r="H631" s="46" t="s">
        <v>29</v>
      </c>
      <c r="I631" s="47" t="s">
        <v>30</v>
      </c>
    </row>
    <row r="632" spans="2:9" ht="13.2">
      <c r="B632" s="49" t="s">
        <v>65</v>
      </c>
      <c r="C632" s="50" t="s">
        <v>36</v>
      </c>
      <c r="D632" s="51"/>
      <c r="E632" s="52" t="s">
        <v>13</v>
      </c>
      <c r="F632" s="53"/>
      <c r="G632" s="54"/>
      <c r="H632" s="112"/>
      <c r="I632" s="56"/>
    </row>
    <row r="633" spans="2:9" ht="13.2">
      <c r="B633" s="49"/>
      <c r="C633" s="57"/>
      <c r="D633" s="58"/>
      <c r="E633" s="2" t="s">
        <v>2</v>
      </c>
      <c r="F633" s="3"/>
      <c r="G633" s="14"/>
      <c r="H633" s="37"/>
      <c r="I633" s="11"/>
    </row>
    <row r="634" spans="2:9" ht="12">
      <c r="B634" s="49" t="s">
        <v>66</v>
      </c>
      <c r="C634" s="60" t="s">
        <v>37</v>
      </c>
      <c r="D634" s="61"/>
      <c r="E634" s="62" t="s">
        <v>64</v>
      </c>
      <c r="F634" s="63" t="s">
        <v>12</v>
      </c>
      <c r="G634" s="64" t="s">
        <v>12</v>
      </c>
      <c r="H634" s="65" t="s">
        <v>12</v>
      </c>
      <c r="I634" s="66" t="s">
        <v>12</v>
      </c>
    </row>
    <row r="635" spans="2:9" ht="13.2">
      <c r="B635" s="25" t="s">
        <v>67</v>
      </c>
      <c r="C635" s="67"/>
      <c r="D635" s="68"/>
      <c r="E635" s="69" t="s">
        <v>35</v>
      </c>
      <c r="F635" s="70" t="s">
        <v>15</v>
      </c>
      <c r="G635" s="152">
        <v>480</v>
      </c>
      <c r="H635" s="72">
        <f>H617</f>
        <v>0</v>
      </c>
      <c r="I635" s="201">
        <f>ROUND($G635*H635,2)</f>
        <v>0</v>
      </c>
    </row>
    <row r="636" spans="2:9" ht="13.2">
      <c r="B636" s="25" t="s">
        <v>68</v>
      </c>
      <c r="C636" s="110"/>
      <c r="D636" s="110"/>
      <c r="E636" s="77" t="s">
        <v>90</v>
      </c>
      <c r="F636" s="70" t="s">
        <v>91</v>
      </c>
      <c r="G636" s="152">
        <v>0.5</v>
      </c>
      <c r="H636" s="72">
        <f>H618</f>
        <v>0</v>
      </c>
      <c r="I636" s="201">
        <f>ROUND($G636*H636,2)</f>
        <v>0</v>
      </c>
    </row>
    <row r="637" spans="2:9" ht="13.2">
      <c r="B637" s="78"/>
      <c r="C637" s="79"/>
      <c r="D637" s="80"/>
      <c r="E637" s="81" t="s">
        <v>16</v>
      </c>
      <c r="F637" s="82" t="s">
        <v>34</v>
      </c>
      <c r="G637" s="34"/>
      <c r="H637" s="116"/>
      <c r="I637" s="117" t="s">
        <v>12</v>
      </c>
    </row>
    <row r="638" spans="2:9" ht="13.2">
      <c r="B638" s="49" t="s">
        <v>71</v>
      </c>
      <c r="C638" s="50" t="s">
        <v>38</v>
      </c>
      <c r="D638" s="51"/>
      <c r="E638" s="52" t="s">
        <v>17</v>
      </c>
      <c r="F638" s="53"/>
      <c r="G638" s="133"/>
      <c r="H638" s="202"/>
      <c r="I638" s="56"/>
    </row>
    <row r="639" spans="2:9" ht="24">
      <c r="B639" s="49"/>
      <c r="C639" s="57"/>
      <c r="D639" s="58"/>
      <c r="E639" s="85" t="s">
        <v>63</v>
      </c>
      <c r="F639" s="3"/>
      <c r="G639" s="36"/>
      <c r="H639" s="30"/>
      <c r="I639" s="30"/>
    </row>
    <row r="640" spans="2:9" ht="13.2">
      <c r="B640" s="49" t="s">
        <v>72</v>
      </c>
      <c r="C640" s="87" t="s">
        <v>39</v>
      </c>
      <c r="D640" s="88"/>
      <c r="E640" s="89" t="s">
        <v>18</v>
      </c>
      <c r="F640" s="90" t="s">
        <v>12</v>
      </c>
      <c r="G640" s="91" t="s">
        <v>12</v>
      </c>
      <c r="H640" s="92"/>
      <c r="I640" s="93" t="s">
        <v>12</v>
      </c>
    </row>
    <row r="641" spans="2:9" ht="45.6">
      <c r="B641" s="25" t="s">
        <v>73</v>
      </c>
      <c r="C641" s="94"/>
      <c r="D641" s="95"/>
      <c r="E641" s="96" t="s">
        <v>19</v>
      </c>
      <c r="F641" s="90" t="s">
        <v>20</v>
      </c>
      <c r="G641" s="152">
        <v>2200</v>
      </c>
      <c r="H641" s="72">
        <f>H623</f>
        <v>0</v>
      </c>
      <c r="I641" s="201">
        <f>ROUND($G641*H641,2)</f>
        <v>0</v>
      </c>
    </row>
    <row r="642" spans="2:9" ht="13.2">
      <c r="B642" s="49" t="s">
        <v>74</v>
      </c>
      <c r="C642" s="87" t="s">
        <v>40</v>
      </c>
      <c r="D642" s="88"/>
      <c r="E642" s="97" t="s">
        <v>22</v>
      </c>
      <c r="F642" s="90" t="s">
        <v>12</v>
      </c>
      <c r="G642" s="91" t="s">
        <v>12</v>
      </c>
      <c r="H642" s="92"/>
      <c r="I642" s="93" t="s">
        <v>12</v>
      </c>
    </row>
    <row r="643" spans="2:9" ht="34.200000000000003">
      <c r="B643" s="25" t="s">
        <v>75</v>
      </c>
      <c r="C643" s="98"/>
      <c r="D643" s="99"/>
      <c r="E643" s="100" t="s">
        <v>32</v>
      </c>
      <c r="F643" s="90" t="s">
        <v>20</v>
      </c>
      <c r="G643" s="152">
        <v>1200</v>
      </c>
      <c r="H643" s="72">
        <f>H625</f>
        <v>0</v>
      </c>
      <c r="I643" s="201">
        <f>ROUND($G643*H643,2)</f>
        <v>0</v>
      </c>
    </row>
    <row r="644" spans="2:9" ht="22.8">
      <c r="B644" s="25" t="s">
        <v>76</v>
      </c>
      <c r="C644" s="113"/>
      <c r="D644" s="113"/>
      <c r="E644" s="103" t="s">
        <v>96</v>
      </c>
      <c r="F644" s="90" t="s">
        <v>20</v>
      </c>
      <c r="G644" s="152">
        <v>125</v>
      </c>
      <c r="H644" s="72">
        <f>H643</f>
        <v>0</v>
      </c>
      <c r="I644" s="201">
        <f>ROUND($G644*H644,2)</f>
        <v>0</v>
      </c>
    </row>
    <row r="645" spans="2:9" ht="13.8">
      <c r="B645" s="49"/>
      <c r="C645" s="344" t="s">
        <v>81</v>
      </c>
      <c r="D645" s="344"/>
      <c r="E645" s="344"/>
      <c r="F645" s="105"/>
      <c r="G645" s="34"/>
      <c r="H645" s="29" t="s">
        <v>12</v>
      </c>
      <c r="I645" s="108">
        <f>SUM(I635:I644)</f>
        <v>0</v>
      </c>
    </row>
    <row r="646" spans="2:9" ht="26.4">
      <c r="B646" s="41" t="s">
        <v>41</v>
      </c>
      <c r="C646" s="356" t="s">
        <v>44</v>
      </c>
      <c r="D646" s="357"/>
      <c r="E646" s="357"/>
      <c r="F646" s="357"/>
      <c r="G646" s="357"/>
      <c r="H646" s="357"/>
      <c r="I646" s="358"/>
    </row>
    <row r="647" spans="2:9" ht="26.4">
      <c r="B647" s="127" t="s">
        <v>83</v>
      </c>
      <c r="C647" s="340" t="s">
        <v>170</v>
      </c>
      <c r="D647" s="341"/>
      <c r="E647" s="342"/>
      <c r="F647" s="342"/>
      <c r="G647" s="342"/>
      <c r="H647" s="342"/>
      <c r="I647" s="343"/>
    </row>
    <row r="648" spans="2:9" ht="24">
      <c r="B648" s="43" t="s">
        <v>0</v>
      </c>
      <c r="C648" s="44" t="s">
        <v>45</v>
      </c>
      <c r="D648" s="128" t="s">
        <v>82</v>
      </c>
      <c r="E648" s="115" t="s">
        <v>42</v>
      </c>
      <c r="F648" s="126" t="s">
        <v>43</v>
      </c>
      <c r="G648" s="126" t="s">
        <v>1</v>
      </c>
      <c r="H648" s="46" t="s">
        <v>29</v>
      </c>
      <c r="I648" s="47" t="s">
        <v>30</v>
      </c>
    </row>
    <row r="649" spans="2:9" ht="13.2">
      <c r="B649" s="49" t="s">
        <v>65</v>
      </c>
      <c r="C649" s="50" t="s">
        <v>36</v>
      </c>
      <c r="D649" s="51"/>
      <c r="E649" s="52" t="s">
        <v>13</v>
      </c>
      <c r="F649" s="53"/>
      <c r="G649" s="54"/>
      <c r="H649" s="112"/>
      <c r="I649" s="56"/>
    </row>
    <row r="650" spans="2:9" ht="13.2">
      <c r="B650" s="49"/>
      <c r="C650" s="57"/>
      <c r="D650" s="58"/>
      <c r="E650" s="2" t="s">
        <v>2</v>
      </c>
      <c r="F650" s="3"/>
      <c r="G650" s="14"/>
      <c r="H650" s="37"/>
      <c r="I650" s="11"/>
    </row>
    <row r="651" spans="2:9" ht="12">
      <c r="B651" s="49" t="s">
        <v>66</v>
      </c>
      <c r="C651" s="60" t="s">
        <v>37</v>
      </c>
      <c r="D651" s="61"/>
      <c r="E651" s="62" t="s">
        <v>64</v>
      </c>
      <c r="F651" s="63" t="s">
        <v>12</v>
      </c>
      <c r="G651" s="64" t="s">
        <v>12</v>
      </c>
      <c r="H651" s="65" t="s">
        <v>12</v>
      </c>
      <c r="I651" s="66" t="s">
        <v>12</v>
      </c>
    </row>
    <row r="652" spans="2:9" ht="13.2">
      <c r="B652" s="25" t="s">
        <v>67</v>
      </c>
      <c r="C652" s="67"/>
      <c r="D652" s="68"/>
      <c r="E652" s="69" t="s">
        <v>35</v>
      </c>
      <c r="F652" s="70" t="s">
        <v>15</v>
      </c>
      <c r="G652" s="152">
        <v>520</v>
      </c>
      <c r="H652" s="72">
        <f>H635</f>
        <v>0</v>
      </c>
      <c r="I652" s="201">
        <f>ROUND($G652*H652,2)</f>
        <v>0</v>
      </c>
    </row>
    <row r="653" spans="2:9" ht="13.2">
      <c r="B653" s="25" t="s">
        <v>68</v>
      </c>
      <c r="C653" s="74"/>
      <c r="D653" s="75"/>
      <c r="E653" s="69" t="s">
        <v>60</v>
      </c>
      <c r="F653" s="70" t="s">
        <v>14</v>
      </c>
      <c r="G653" s="152">
        <v>80</v>
      </c>
      <c r="H653" s="72">
        <f>H589</f>
        <v>0</v>
      </c>
      <c r="I653" s="201">
        <f t="shared" ref="I653:I656" si="25">ROUND($G653*H653,2)</f>
        <v>0</v>
      </c>
    </row>
    <row r="654" spans="2:9" ht="13.2">
      <c r="B654" s="25" t="s">
        <v>69</v>
      </c>
      <c r="C654" s="74"/>
      <c r="D654" s="75"/>
      <c r="E654" s="69" t="s">
        <v>61</v>
      </c>
      <c r="F654" s="70" t="s">
        <v>14</v>
      </c>
      <c r="G654" s="152">
        <v>124</v>
      </c>
      <c r="H654" s="72">
        <f>H653</f>
        <v>0</v>
      </c>
      <c r="I654" s="201">
        <f t="shared" si="25"/>
        <v>0</v>
      </c>
    </row>
    <row r="655" spans="2:9" ht="13.2">
      <c r="B655" s="25" t="s">
        <v>70</v>
      </c>
      <c r="C655" s="74"/>
      <c r="D655" s="75"/>
      <c r="E655" s="69" t="s">
        <v>146</v>
      </c>
      <c r="F655" s="70" t="s">
        <v>14</v>
      </c>
      <c r="G655" s="152">
        <v>18</v>
      </c>
      <c r="H655" s="72">
        <f>H654</f>
        <v>0</v>
      </c>
      <c r="I655" s="201">
        <f t="shared" si="25"/>
        <v>0</v>
      </c>
    </row>
    <row r="656" spans="2:9" ht="22.8">
      <c r="B656" s="25" t="s">
        <v>94</v>
      </c>
      <c r="C656" s="110"/>
      <c r="D656" s="110"/>
      <c r="E656" s="77" t="s">
        <v>62</v>
      </c>
      <c r="F656" s="70" t="s">
        <v>5</v>
      </c>
      <c r="G656" s="152">
        <v>54</v>
      </c>
      <c r="H656" s="72">
        <f>H652</f>
        <v>0</v>
      </c>
      <c r="I656" s="201">
        <f t="shared" si="25"/>
        <v>0</v>
      </c>
    </row>
    <row r="657" spans="2:9" ht="13.2">
      <c r="B657" s="78"/>
      <c r="C657" s="79"/>
      <c r="D657" s="80"/>
      <c r="E657" s="81" t="s">
        <v>16</v>
      </c>
      <c r="F657" s="82" t="s">
        <v>34</v>
      </c>
      <c r="G657" s="34"/>
      <c r="H657" s="116"/>
      <c r="I657" s="117" t="s">
        <v>12</v>
      </c>
    </row>
    <row r="658" spans="2:9" ht="13.2">
      <c r="B658" s="49" t="s">
        <v>71</v>
      </c>
      <c r="C658" s="50" t="s">
        <v>38</v>
      </c>
      <c r="D658" s="51"/>
      <c r="E658" s="52" t="s">
        <v>17</v>
      </c>
      <c r="F658" s="53"/>
      <c r="G658" s="133"/>
      <c r="H658" s="202"/>
      <c r="I658" s="56"/>
    </row>
    <row r="659" spans="2:9" ht="24">
      <c r="B659" s="49"/>
      <c r="C659" s="57"/>
      <c r="D659" s="58"/>
      <c r="E659" s="85" t="s">
        <v>63</v>
      </c>
      <c r="F659" s="3"/>
      <c r="G659" s="36"/>
      <c r="H659" s="30"/>
      <c r="I659" s="30"/>
    </row>
    <row r="660" spans="2:9" ht="13.2">
      <c r="B660" s="49" t="s">
        <v>72</v>
      </c>
      <c r="C660" s="87" t="s">
        <v>39</v>
      </c>
      <c r="D660" s="88"/>
      <c r="E660" s="89" t="s">
        <v>18</v>
      </c>
      <c r="F660" s="90" t="s">
        <v>12</v>
      </c>
      <c r="G660" s="91" t="s">
        <v>12</v>
      </c>
      <c r="H660" s="92"/>
      <c r="I660" s="93" t="s">
        <v>12</v>
      </c>
    </row>
    <row r="661" spans="2:9" ht="45.6">
      <c r="B661" s="25" t="s">
        <v>73</v>
      </c>
      <c r="C661" s="94"/>
      <c r="D661" s="95"/>
      <c r="E661" s="96" t="s">
        <v>19</v>
      </c>
      <c r="F661" s="90" t="s">
        <v>20</v>
      </c>
      <c r="G661" s="152">
        <v>1025</v>
      </c>
      <c r="H661" s="72">
        <f>H641</f>
        <v>0</v>
      </c>
      <c r="I661" s="201">
        <f>ROUND($G661*H661,2)</f>
        <v>0</v>
      </c>
    </row>
    <row r="662" spans="2:9" ht="13.2">
      <c r="B662" s="49" t="s">
        <v>74</v>
      </c>
      <c r="C662" s="87" t="s">
        <v>40</v>
      </c>
      <c r="D662" s="88"/>
      <c r="E662" s="97" t="s">
        <v>22</v>
      </c>
      <c r="F662" s="90" t="s">
        <v>12</v>
      </c>
      <c r="G662" s="91" t="s">
        <v>12</v>
      </c>
      <c r="H662" s="92"/>
      <c r="I662" s="93" t="s">
        <v>12</v>
      </c>
    </row>
    <row r="663" spans="2:9" ht="34.200000000000003">
      <c r="B663" s="25" t="s">
        <v>75</v>
      </c>
      <c r="C663" s="203"/>
      <c r="D663" s="204"/>
      <c r="E663" s="100" t="s">
        <v>32</v>
      </c>
      <c r="F663" s="90" t="s">
        <v>20</v>
      </c>
      <c r="G663" s="152">
        <v>950</v>
      </c>
      <c r="H663" s="72">
        <f>H644</f>
        <v>0</v>
      </c>
      <c r="I663" s="201">
        <f>ROUND($G663*H663,2)</f>
        <v>0</v>
      </c>
    </row>
    <row r="664" spans="2:9" ht="12">
      <c r="B664" s="78"/>
      <c r="C664" s="164"/>
      <c r="D664" s="165"/>
      <c r="E664" s="81" t="s">
        <v>135</v>
      </c>
      <c r="F664" s="82" t="s">
        <v>34</v>
      </c>
      <c r="G664" s="166"/>
      <c r="H664" s="144" t="s">
        <v>12</v>
      </c>
      <c r="I664" s="124" t="s">
        <v>12</v>
      </c>
    </row>
    <row r="665" spans="2:9" ht="13.8">
      <c r="B665" s="49"/>
      <c r="C665" s="359" t="s">
        <v>81</v>
      </c>
      <c r="D665" s="360"/>
      <c r="E665" s="361"/>
      <c r="F665" s="105"/>
      <c r="G665" s="34"/>
      <c r="H665" s="144" t="s">
        <v>12</v>
      </c>
      <c r="I665" s="108">
        <f>SUM(I652:I663)</f>
        <v>0</v>
      </c>
    </row>
    <row r="666" spans="2:9" ht="26.4">
      <c r="B666" s="41" t="s">
        <v>41</v>
      </c>
      <c r="C666" s="356" t="s">
        <v>44</v>
      </c>
      <c r="D666" s="357"/>
      <c r="E666" s="357"/>
      <c r="F666" s="357"/>
      <c r="G666" s="357"/>
      <c r="H666" s="357"/>
      <c r="I666" s="358"/>
    </row>
    <row r="667" spans="2:9" ht="26.4">
      <c r="B667" s="127" t="s">
        <v>83</v>
      </c>
      <c r="C667" s="340" t="s">
        <v>171</v>
      </c>
      <c r="D667" s="341"/>
      <c r="E667" s="342"/>
      <c r="F667" s="342"/>
      <c r="G667" s="342"/>
      <c r="H667" s="342"/>
      <c r="I667" s="343"/>
    </row>
    <row r="668" spans="2:9" ht="24">
      <c r="B668" s="43" t="s">
        <v>0</v>
      </c>
      <c r="C668" s="44" t="s">
        <v>45</v>
      </c>
      <c r="D668" s="128" t="s">
        <v>82</v>
      </c>
      <c r="E668" s="115" t="s">
        <v>42</v>
      </c>
      <c r="F668" s="126" t="s">
        <v>43</v>
      </c>
      <c r="G668" s="126" t="s">
        <v>1</v>
      </c>
      <c r="H668" s="46" t="s">
        <v>29</v>
      </c>
      <c r="I668" s="47" t="s">
        <v>30</v>
      </c>
    </row>
    <row r="669" spans="2:9" ht="13.2">
      <c r="B669" s="49" t="s">
        <v>65</v>
      </c>
      <c r="C669" s="50" t="s">
        <v>36</v>
      </c>
      <c r="D669" s="51"/>
      <c r="E669" s="52" t="s">
        <v>13</v>
      </c>
      <c r="F669" s="53"/>
      <c r="G669" s="54"/>
      <c r="H669" s="112"/>
      <c r="I669" s="56"/>
    </row>
    <row r="670" spans="2:9" ht="13.2">
      <c r="B670" s="49"/>
      <c r="C670" s="57"/>
      <c r="D670" s="58"/>
      <c r="E670" s="2" t="s">
        <v>2</v>
      </c>
      <c r="F670" s="3"/>
      <c r="G670" s="14"/>
      <c r="H670" s="37"/>
      <c r="I670" s="11"/>
    </row>
    <row r="671" spans="2:9" ht="12">
      <c r="B671" s="49" t="s">
        <v>66</v>
      </c>
      <c r="C671" s="60" t="s">
        <v>37</v>
      </c>
      <c r="D671" s="61"/>
      <c r="E671" s="62" t="s">
        <v>64</v>
      </c>
      <c r="F671" s="63" t="s">
        <v>12</v>
      </c>
      <c r="G671" s="64" t="s">
        <v>12</v>
      </c>
      <c r="H671" s="65" t="s">
        <v>12</v>
      </c>
      <c r="I671" s="66" t="s">
        <v>12</v>
      </c>
    </row>
    <row r="672" spans="2:9" ht="13.2">
      <c r="B672" s="25" t="s">
        <v>67</v>
      </c>
      <c r="C672" s="67"/>
      <c r="D672" s="68"/>
      <c r="E672" s="69" t="s">
        <v>35</v>
      </c>
      <c r="F672" s="70" t="s">
        <v>15</v>
      </c>
      <c r="G672" s="152">
        <v>325</v>
      </c>
      <c r="H672" s="158">
        <f>H652</f>
        <v>0</v>
      </c>
      <c r="I672" s="73">
        <f>ROUND($G672*H672,2)</f>
        <v>0</v>
      </c>
    </row>
    <row r="673" spans="2:9" ht="13.2">
      <c r="B673" s="25" t="s">
        <v>68</v>
      </c>
      <c r="C673" s="74"/>
      <c r="D673" s="75"/>
      <c r="E673" s="69" t="s">
        <v>60</v>
      </c>
      <c r="F673" s="70" t="s">
        <v>14</v>
      </c>
      <c r="G673" s="152">
        <v>80</v>
      </c>
      <c r="H673" s="158">
        <f>H654</f>
        <v>0</v>
      </c>
      <c r="I673" s="73">
        <f t="shared" ref="I673:I676" si="26">ROUND($G673*H673,2)</f>
        <v>0</v>
      </c>
    </row>
    <row r="674" spans="2:9" ht="13.2">
      <c r="B674" s="25" t="s">
        <v>69</v>
      </c>
      <c r="C674" s="74"/>
      <c r="D674" s="75"/>
      <c r="E674" s="69" t="s">
        <v>61</v>
      </c>
      <c r="F674" s="70" t="s">
        <v>14</v>
      </c>
      <c r="G674" s="152">
        <v>128</v>
      </c>
      <c r="H674" s="158">
        <f>H673</f>
        <v>0</v>
      </c>
      <c r="I674" s="73">
        <f t="shared" si="26"/>
        <v>0</v>
      </c>
    </row>
    <row r="675" spans="2:9" ht="13.2">
      <c r="B675" s="25" t="s">
        <v>70</v>
      </c>
      <c r="C675" s="74"/>
      <c r="D675" s="75"/>
      <c r="E675" s="69" t="s">
        <v>146</v>
      </c>
      <c r="F675" s="70" t="s">
        <v>14</v>
      </c>
      <c r="G675" s="152">
        <v>17</v>
      </c>
      <c r="H675" s="158">
        <f>H674</f>
        <v>0</v>
      </c>
      <c r="I675" s="73">
        <f t="shared" si="26"/>
        <v>0</v>
      </c>
    </row>
    <row r="676" spans="2:9" ht="22.8">
      <c r="B676" s="25" t="s">
        <v>94</v>
      </c>
      <c r="C676" s="110"/>
      <c r="D676" s="110"/>
      <c r="E676" s="77" t="s">
        <v>62</v>
      </c>
      <c r="F676" s="70" t="s">
        <v>5</v>
      </c>
      <c r="G676" s="152">
        <v>34</v>
      </c>
      <c r="H676" s="158">
        <f>H672</f>
        <v>0</v>
      </c>
      <c r="I676" s="73">
        <f t="shared" si="26"/>
        <v>0</v>
      </c>
    </row>
    <row r="677" spans="2:9" ht="13.2">
      <c r="B677" s="78"/>
      <c r="C677" s="79"/>
      <c r="D677" s="80"/>
      <c r="E677" s="81" t="s">
        <v>16</v>
      </c>
      <c r="F677" s="82" t="s">
        <v>34</v>
      </c>
      <c r="G677" s="34"/>
      <c r="H677" s="159"/>
      <c r="I677" s="160" t="s">
        <v>12</v>
      </c>
    </row>
    <row r="678" spans="2:9" ht="13.2">
      <c r="B678" s="49" t="s">
        <v>71</v>
      </c>
      <c r="C678" s="50" t="s">
        <v>38</v>
      </c>
      <c r="D678" s="51"/>
      <c r="E678" s="52" t="s">
        <v>17</v>
      </c>
      <c r="F678" s="53"/>
      <c r="G678" s="133"/>
      <c r="H678" s="112"/>
      <c r="I678" s="161"/>
    </row>
    <row r="679" spans="2:9" ht="24">
      <c r="B679" s="49"/>
      <c r="C679" s="57"/>
      <c r="D679" s="58"/>
      <c r="E679" s="85" t="s">
        <v>63</v>
      </c>
      <c r="F679" s="3"/>
      <c r="G679" s="36"/>
      <c r="H679" s="24"/>
      <c r="I679" s="24"/>
    </row>
    <row r="680" spans="2:9" ht="13.2">
      <c r="B680" s="49" t="s">
        <v>72</v>
      </c>
      <c r="C680" s="87" t="s">
        <v>39</v>
      </c>
      <c r="D680" s="88"/>
      <c r="E680" s="89" t="s">
        <v>18</v>
      </c>
      <c r="F680" s="90" t="s">
        <v>12</v>
      </c>
      <c r="G680" s="91" t="s">
        <v>12</v>
      </c>
      <c r="H680" s="162"/>
      <c r="I680" s="163" t="s">
        <v>12</v>
      </c>
    </row>
    <row r="681" spans="2:9" ht="45.6">
      <c r="B681" s="25" t="s">
        <v>73</v>
      </c>
      <c r="C681" s="94"/>
      <c r="D681" s="95"/>
      <c r="E681" s="96" t="s">
        <v>19</v>
      </c>
      <c r="F681" s="90" t="s">
        <v>20</v>
      </c>
      <c r="G681" s="152">
        <v>970</v>
      </c>
      <c r="H681" s="158">
        <f>H661</f>
        <v>0</v>
      </c>
      <c r="I681" s="73">
        <f>ROUND($G681*H681,2)</f>
        <v>0</v>
      </c>
    </row>
    <row r="682" spans="2:9" ht="13.2">
      <c r="B682" s="49" t="s">
        <v>74</v>
      </c>
      <c r="C682" s="87" t="s">
        <v>40</v>
      </c>
      <c r="D682" s="88"/>
      <c r="E682" s="97" t="s">
        <v>22</v>
      </c>
      <c r="F682" s="90" t="s">
        <v>12</v>
      </c>
      <c r="G682" s="91" t="s">
        <v>12</v>
      </c>
      <c r="H682" s="162"/>
      <c r="I682" s="163" t="s">
        <v>12</v>
      </c>
    </row>
    <row r="683" spans="2:9" ht="34.200000000000003">
      <c r="B683" s="25" t="s">
        <v>75</v>
      </c>
      <c r="C683" s="203"/>
      <c r="D683" s="204"/>
      <c r="E683" s="100" t="s">
        <v>32</v>
      </c>
      <c r="F683" s="90" t="s">
        <v>20</v>
      </c>
      <c r="G683" s="152">
        <v>920</v>
      </c>
      <c r="H683" s="158">
        <f>H663</f>
        <v>0</v>
      </c>
      <c r="I683" s="73">
        <f>ROUND($G683*H683,2)</f>
        <v>0</v>
      </c>
    </row>
    <row r="684" spans="2:9" ht="12">
      <c r="B684" s="78"/>
      <c r="C684" s="164"/>
      <c r="D684" s="165"/>
      <c r="E684" s="81" t="s">
        <v>135</v>
      </c>
      <c r="F684" s="82" t="s">
        <v>34</v>
      </c>
      <c r="G684" s="166"/>
      <c r="H684" s="144" t="s">
        <v>12</v>
      </c>
      <c r="I684" s="124" t="s">
        <v>12</v>
      </c>
    </row>
    <row r="685" spans="2:9" ht="13.8">
      <c r="B685" s="49"/>
      <c r="C685" s="359" t="s">
        <v>81</v>
      </c>
      <c r="D685" s="360"/>
      <c r="E685" s="361"/>
      <c r="F685" s="105"/>
      <c r="G685" s="34"/>
      <c r="H685" s="29" t="s">
        <v>12</v>
      </c>
      <c r="I685" s="108">
        <f>SUM(I672:I683)</f>
        <v>0</v>
      </c>
    </row>
    <row r="686" spans="2:9" ht="26.4">
      <c r="B686" s="41" t="s">
        <v>41</v>
      </c>
      <c r="C686" s="356" t="s">
        <v>44</v>
      </c>
      <c r="D686" s="357"/>
      <c r="E686" s="357"/>
      <c r="F686" s="357"/>
      <c r="G686" s="357"/>
      <c r="H686" s="357"/>
      <c r="I686" s="358"/>
    </row>
    <row r="687" spans="2:9" ht="26.4">
      <c r="B687" s="127" t="s">
        <v>83</v>
      </c>
      <c r="C687" s="340" t="s">
        <v>172</v>
      </c>
      <c r="D687" s="341"/>
      <c r="E687" s="342"/>
      <c r="F687" s="342"/>
      <c r="G687" s="342"/>
      <c r="H687" s="342"/>
      <c r="I687" s="343"/>
    </row>
    <row r="688" spans="2:9" ht="24">
      <c r="B688" s="43" t="s">
        <v>0</v>
      </c>
      <c r="C688" s="44" t="s">
        <v>45</v>
      </c>
      <c r="D688" s="128" t="s">
        <v>82</v>
      </c>
      <c r="E688" s="115" t="s">
        <v>42</v>
      </c>
      <c r="F688" s="126" t="s">
        <v>43</v>
      </c>
      <c r="G688" s="45" t="s">
        <v>1</v>
      </c>
      <c r="H688" s="46" t="s">
        <v>29</v>
      </c>
      <c r="I688" s="47" t="s">
        <v>30</v>
      </c>
    </row>
    <row r="689" spans="2:9" ht="13.2">
      <c r="B689" s="49" t="s">
        <v>65</v>
      </c>
      <c r="C689" s="50" t="s">
        <v>36</v>
      </c>
      <c r="D689" s="51"/>
      <c r="E689" s="52" t="s">
        <v>13</v>
      </c>
      <c r="F689" s="53"/>
      <c r="G689" s="54"/>
      <c r="H689" s="55"/>
      <c r="I689" s="56"/>
    </row>
    <row r="690" spans="2:9" ht="13.2">
      <c r="B690" s="49"/>
      <c r="C690" s="57"/>
      <c r="D690" s="58"/>
      <c r="E690" s="2" t="s">
        <v>2</v>
      </c>
      <c r="F690" s="3"/>
      <c r="G690" s="14"/>
      <c r="H690" s="59"/>
      <c r="I690" s="11"/>
    </row>
    <row r="691" spans="2:9" ht="12">
      <c r="B691" s="49" t="s">
        <v>66</v>
      </c>
      <c r="C691" s="60" t="s">
        <v>37</v>
      </c>
      <c r="D691" s="61"/>
      <c r="E691" s="62" t="s">
        <v>64</v>
      </c>
      <c r="F691" s="63" t="s">
        <v>12</v>
      </c>
      <c r="G691" s="64" t="s">
        <v>12</v>
      </c>
      <c r="H691" s="65" t="s">
        <v>12</v>
      </c>
      <c r="I691" s="66" t="s">
        <v>12</v>
      </c>
    </row>
    <row r="692" spans="2:9" ht="13.2">
      <c r="B692" s="25" t="s">
        <v>67</v>
      </c>
      <c r="C692" s="67"/>
      <c r="D692" s="68"/>
      <c r="E692" s="69" t="s">
        <v>35</v>
      </c>
      <c r="F692" s="205" t="s">
        <v>15</v>
      </c>
      <c r="G692" s="206">
        <v>195</v>
      </c>
      <c r="H692" s="207">
        <f>H672</f>
        <v>0</v>
      </c>
      <c r="I692" s="208">
        <f>ROUND($G692*H692,2)</f>
        <v>0</v>
      </c>
    </row>
    <row r="693" spans="2:9" ht="13.2">
      <c r="B693" s="25" t="s">
        <v>68</v>
      </c>
      <c r="C693" s="74"/>
      <c r="D693" s="75"/>
      <c r="E693" s="69" t="s">
        <v>60</v>
      </c>
      <c r="F693" s="205" t="s">
        <v>14</v>
      </c>
      <c r="G693" s="206">
        <v>80</v>
      </c>
      <c r="H693" s="207">
        <f>H673</f>
        <v>0</v>
      </c>
      <c r="I693" s="208">
        <f t="shared" ref="I693:I696" si="27">ROUND($G693*H693,2)</f>
        <v>0</v>
      </c>
    </row>
    <row r="694" spans="2:9" ht="13.2">
      <c r="B694" s="25" t="s">
        <v>69</v>
      </c>
      <c r="C694" s="74"/>
      <c r="D694" s="75"/>
      <c r="E694" s="69" t="s">
        <v>61</v>
      </c>
      <c r="F694" s="205" t="s">
        <v>14</v>
      </c>
      <c r="G694" s="206">
        <v>78</v>
      </c>
      <c r="H694" s="207">
        <f>H693</f>
        <v>0</v>
      </c>
      <c r="I694" s="208">
        <f t="shared" si="27"/>
        <v>0</v>
      </c>
    </row>
    <row r="695" spans="2:9" ht="13.2">
      <c r="B695" s="25" t="s">
        <v>70</v>
      </c>
      <c r="C695" s="74"/>
      <c r="D695" s="75"/>
      <c r="E695" s="69" t="s">
        <v>146</v>
      </c>
      <c r="F695" s="205" t="s">
        <v>14</v>
      </c>
      <c r="G695" s="206">
        <v>16.5</v>
      </c>
      <c r="H695" s="207">
        <f>H694</f>
        <v>0</v>
      </c>
      <c r="I695" s="208">
        <f t="shared" si="27"/>
        <v>0</v>
      </c>
    </row>
    <row r="696" spans="2:9" ht="22.8">
      <c r="B696" s="25" t="s">
        <v>94</v>
      </c>
      <c r="C696" s="110"/>
      <c r="D696" s="110"/>
      <c r="E696" s="77" t="s">
        <v>62</v>
      </c>
      <c r="F696" s="205" t="s">
        <v>5</v>
      </c>
      <c r="G696" s="206">
        <v>56.3</v>
      </c>
      <c r="H696" s="207">
        <f>H692</f>
        <v>0</v>
      </c>
      <c r="I696" s="208">
        <f t="shared" si="27"/>
        <v>0</v>
      </c>
    </row>
    <row r="697" spans="2:9" ht="12">
      <c r="B697" s="78"/>
      <c r="C697" s="79"/>
      <c r="D697" s="80"/>
      <c r="E697" s="209" t="s">
        <v>16</v>
      </c>
      <c r="F697" s="210" t="s">
        <v>34</v>
      </c>
      <c r="G697" s="34"/>
      <c r="H697" s="211"/>
      <c r="I697" s="212" t="s">
        <v>12</v>
      </c>
    </row>
    <row r="698" spans="2:9" ht="13.2">
      <c r="B698" s="49" t="s">
        <v>71</v>
      </c>
      <c r="C698" s="50" t="s">
        <v>38</v>
      </c>
      <c r="D698" s="51"/>
      <c r="E698" s="52" t="s">
        <v>17</v>
      </c>
      <c r="F698" s="213"/>
      <c r="G698" s="214"/>
      <c r="H698" s="215"/>
      <c r="I698" s="216"/>
    </row>
    <row r="699" spans="2:9" ht="24">
      <c r="B699" s="49"/>
      <c r="C699" s="57"/>
      <c r="D699" s="58"/>
      <c r="E699" s="85" t="s">
        <v>63</v>
      </c>
      <c r="F699" s="217"/>
      <c r="G699" s="218"/>
      <c r="H699" s="219"/>
      <c r="I699" s="219"/>
    </row>
    <row r="700" spans="2:9" ht="12">
      <c r="B700" s="49" t="s">
        <v>72</v>
      </c>
      <c r="C700" s="87" t="s">
        <v>39</v>
      </c>
      <c r="D700" s="88"/>
      <c r="E700" s="220" t="s">
        <v>18</v>
      </c>
      <c r="F700" s="221" t="s">
        <v>12</v>
      </c>
      <c r="G700" s="222" t="s">
        <v>12</v>
      </c>
      <c r="H700" s="223"/>
      <c r="I700" s="224" t="s">
        <v>12</v>
      </c>
    </row>
    <row r="701" spans="2:9" ht="45.6">
      <c r="B701" s="25" t="s">
        <v>73</v>
      </c>
      <c r="C701" s="94"/>
      <c r="D701" s="95"/>
      <c r="E701" s="225" t="s">
        <v>19</v>
      </c>
      <c r="F701" s="221" t="s">
        <v>20</v>
      </c>
      <c r="G701" s="206">
        <v>820</v>
      </c>
      <c r="H701" s="207">
        <f>H681</f>
        <v>0</v>
      </c>
      <c r="I701" s="208">
        <f>ROUND($G701*H701,2)</f>
        <v>0</v>
      </c>
    </row>
    <row r="702" spans="2:9" ht="12">
      <c r="B702" s="49" t="s">
        <v>74</v>
      </c>
      <c r="C702" s="87" t="s">
        <v>40</v>
      </c>
      <c r="D702" s="88"/>
      <c r="E702" s="97" t="s">
        <v>22</v>
      </c>
      <c r="F702" s="221" t="s">
        <v>12</v>
      </c>
      <c r="G702" s="222" t="s">
        <v>12</v>
      </c>
      <c r="H702" s="223"/>
      <c r="I702" s="224" t="s">
        <v>12</v>
      </c>
    </row>
    <row r="703" spans="2:9" ht="34.200000000000003">
      <c r="B703" s="25" t="s">
        <v>75</v>
      </c>
      <c r="C703" s="203"/>
      <c r="D703" s="204"/>
      <c r="E703" s="226" t="s">
        <v>32</v>
      </c>
      <c r="F703" s="221" t="s">
        <v>20</v>
      </c>
      <c r="G703" s="206">
        <v>910</v>
      </c>
      <c r="H703" s="207">
        <f>H683</f>
        <v>0</v>
      </c>
      <c r="I703" s="208">
        <f>ROUND($G703*H703,2)</f>
        <v>0</v>
      </c>
    </row>
    <row r="704" spans="2:9" ht="12">
      <c r="B704" s="78"/>
      <c r="C704" s="164"/>
      <c r="D704" s="165"/>
      <c r="E704" s="209" t="s">
        <v>135</v>
      </c>
      <c r="F704" s="210" t="s">
        <v>34</v>
      </c>
      <c r="G704" s="166"/>
      <c r="H704" s="211" t="s">
        <v>12</v>
      </c>
      <c r="I704" s="212" t="s">
        <v>12</v>
      </c>
    </row>
    <row r="705" spans="2:9" ht="13.8">
      <c r="B705" s="49"/>
      <c r="C705" s="359" t="s">
        <v>81</v>
      </c>
      <c r="D705" s="360"/>
      <c r="E705" s="361"/>
      <c r="F705" s="105"/>
      <c r="G705" s="34"/>
      <c r="H705" s="29" t="s">
        <v>12</v>
      </c>
      <c r="I705" s="108">
        <f>SUM(I692:I703)</f>
        <v>0</v>
      </c>
    </row>
    <row r="706" spans="2:9" ht="26.4">
      <c r="B706" s="41" t="s">
        <v>41</v>
      </c>
      <c r="C706" s="352" t="s">
        <v>173</v>
      </c>
      <c r="D706" s="353"/>
      <c r="E706" s="354"/>
      <c r="F706" s="354"/>
      <c r="G706" s="354"/>
      <c r="H706" s="354"/>
      <c r="I706" s="355"/>
    </row>
    <row r="707" spans="2:9" ht="26.4">
      <c r="B707" s="127" t="s">
        <v>83</v>
      </c>
      <c r="C707" s="340" t="s">
        <v>174</v>
      </c>
      <c r="D707" s="341"/>
      <c r="E707" s="342"/>
      <c r="F707" s="342"/>
      <c r="G707" s="342"/>
      <c r="H707" s="342"/>
      <c r="I707" s="343"/>
    </row>
    <row r="708" spans="2:9" ht="24">
      <c r="B708" s="43" t="s">
        <v>0</v>
      </c>
      <c r="C708" s="44" t="s">
        <v>45</v>
      </c>
      <c r="D708" s="128" t="s">
        <v>82</v>
      </c>
      <c r="E708" s="115" t="s">
        <v>42</v>
      </c>
      <c r="F708" s="126" t="s">
        <v>43</v>
      </c>
      <c r="G708" s="45" t="s">
        <v>1</v>
      </c>
      <c r="H708" s="46" t="s">
        <v>29</v>
      </c>
      <c r="I708" s="47" t="s">
        <v>30</v>
      </c>
    </row>
    <row r="709" spans="2:9" ht="13.2">
      <c r="B709" s="49" t="s">
        <v>65</v>
      </c>
      <c r="C709" s="50" t="s">
        <v>36</v>
      </c>
      <c r="D709" s="51"/>
      <c r="E709" s="52" t="s">
        <v>13</v>
      </c>
      <c r="F709" s="53"/>
      <c r="G709" s="54"/>
      <c r="H709" s="55"/>
      <c r="I709" s="56"/>
    </row>
    <row r="710" spans="2:9" ht="13.2">
      <c r="B710" s="49"/>
      <c r="C710" s="57"/>
      <c r="D710" s="58"/>
      <c r="E710" s="2" t="s">
        <v>2</v>
      </c>
      <c r="F710" s="3"/>
      <c r="G710" s="14"/>
      <c r="H710" s="59"/>
      <c r="I710" s="11"/>
    </row>
    <row r="711" spans="2:9" ht="12">
      <c r="B711" s="49" t="s">
        <v>66</v>
      </c>
      <c r="C711" s="60" t="s">
        <v>37</v>
      </c>
      <c r="D711" s="61"/>
      <c r="E711" s="62" t="s">
        <v>64</v>
      </c>
      <c r="F711" s="63" t="s">
        <v>12</v>
      </c>
      <c r="G711" s="64" t="s">
        <v>12</v>
      </c>
      <c r="H711" s="65" t="s">
        <v>12</v>
      </c>
      <c r="I711" s="66" t="s">
        <v>12</v>
      </c>
    </row>
    <row r="712" spans="2:9" ht="13.2">
      <c r="B712" s="25" t="s">
        <v>67</v>
      </c>
      <c r="C712" s="67"/>
      <c r="D712" s="68"/>
      <c r="E712" s="69" t="s">
        <v>35</v>
      </c>
      <c r="F712" s="70" t="s">
        <v>15</v>
      </c>
      <c r="G712" s="152">
        <v>1866</v>
      </c>
      <c r="H712" s="72">
        <f>H692</f>
        <v>0</v>
      </c>
      <c r="I712" s="201">
        <f>ROUND($G712*H712,2)</f>
        <v>0</v>
      </c>
    </row>
    <row r="713" spans="2:9" ht="13.2">
      <c r="B713" s="78"/>
      <c r="C713" s="79"/>
      <c r="D713" s="80"/>
      <c r="E713" s="81" t="s">
        <v>16</v>
      </c>
      <c r="F713" s="82" t="s">
        <v>34</v>
      </c>
      <c r="G713" s="34"/>
      <c r="H713" s="116"/>
      <c r="I713" s="117" t="s">
        <v>12</v>
      </c>
    </row>
    <row r="714" spans="2:9" ht="13.2">
      <c r="B714" s="49" t="s">
        <v>71</v>
      </c>
      <c r="C714" s="50" t="s">
        <v>38</v>
      </c>
      <c r="D714" s="51"/>
      <c r="E714" s="52" t="s">
        <v>17</v>
      </c>
      <c r="F714" s="53"/>
      <c r="G714" s="133"/>
      <c r="H714" s="202"/>
      <c r="I714" s="56"/>
    </row>
    <row r="715" spans="2:9" ht="24">
      <c r="B715" s="49"/>
      <c r="C715" s="57"/>
      <c r="D715" s="58"/>
      <c r="E715" s="85" t="s">
        <v>63</v>
      </c>
      <c r="F715" s="3"/>
      <c r="G715" s="36"/>
      <c r="H715" s="30"/>
      <c r="I715" s="30"/>
    </row>
    <row r="716" spans="2:9" ht="13.2">
      <c r="B716" s="49" t="s">
        <v>72</v>
      </c>
      <c r="C716" s="87" t="s">
        <v>39</v>
      </c>
      <c r="D716" s="88"/>
      <c r="E716" s="89" t="s">
        <v>18</v>
      </c>
      <c r="F716" s="90" t="s">
        <v>12</v>
      </c>
      <c r="G716" s="91" t="s">
        <v>12</v>
      </c>
      <c r="H716" s="92"/>
      <c r="I716" s="93" t="s">
        <v>12</v>
      </c>
    </row>
    <row r="717" spans="2:9" ht="45.6">
      <c r="B717" s="25" t="s">
        <v>73</v>
      </c>
      <c r="C717" s="94"/>
      <c r="D717" s="95"/>
      <c r="E717" s="96" t="s">
        <v>19</v>
      </c>
      <c r="F717" s="90" t="s">
        <v>20</v>
      </c>
      <c r="G717" s="152">
        <v>1244</v>
      </c>
      <c r="H717" s="72">
        <f>H701</f>
        <v>0</v>
      </c>
      <c r="I717" s="201">
        <f>ROUND($G717*H717,2)</f>
        <v>0</v>
      </c>
    </row>
    <row r="718" spans="2:9" ht="13.2">
      <c r="B718" s="49" t="s">
        <v>74</v>
      </c>
      <c r="C718" s="87" t="s">
        <v>40</v>
      </c>
      <c r="D718" s="88"/>
      <c r="E718" s="97" t="s">
        <v>22</v>
      </c>
      <c r="F718" s="90" t="s">
        <v>12</v>
      </c>
      <c r="G718" s="91" t="s">
        <v>12</v>
      </c>
      <c r="H718" s="92"/>
      <c r="I718" s="93" t="s">
        <v>12</v>
      </c>
    </row>
    <row r="719" spans="2:9" ht="34.200000000000003">
      <c r="B719" s="25" t="s">
        <v>75</v>
      </c>
      <c r="C719" s="98"/>
      <c r="D719" s="99"/>
      <c r="E719" s="100" t="s">
        <v>32</v>
      </c>
      <c r="F719" s="90" t="s">
        <v>20</v>
      </c>
      <c r="G719" s="152">
        <v>622</v>
      </c>
      <c r="H719" s="72">
        <f>H703</f>
        <v>0</v>
      </c>
      <c r="I719" s="201">
        <f>ROUND($G719*H719,2)</f>
        <v>0</v>
      </c>
    </row>
    <row r="720" spans="2:9" ht="13.8">
      <c r="B720" s="49"/>
      <c r="C720" s="344" t="s">
        <v>81</v>
      </c>
      <c r="D720" s="344"/>
      <c r="E720" s="344"/>
      <c r="F720" s="105"/>
      <c r="G720" s="34"/>
      <c r="H720" s="29" t="s">
        <v>12</v>
      </c>
      <c r="I720" s="114">
        <f>SUM(I712:I719)</f>
        <v>0</v>
      </c>
    </row>
    <row r="721" spans="2:9" ht="26.4">
      <c r="B721" s="41" t="s">
        <v>41</v>
      </c>
      <c r="C721" s="352" t="s">
        <v>147</v>
      </c>
      <c r="D721" s="353"/>
      <c r="E721" s="354"/>
      <c r="F721" s="354"/>
      <c r="G721" s="354"/>
      <c r="H721" s="354"/>
      <c r="I721" s="355"/>
    </row>
    <row r="722" spans="2:9" ht="26.4">
      <c r="B722" s="127" t="s">
        <v>83</v>
      </c>
      <c r="C722" s="340" t="s">
        <v>175</v>
      </c>
      <c r="D722" s="341"/>
      <c r="E722" s="342"/>
      <c r="F722" s="342"/>
      <c r="G722" s="342"/>
      <c r="H722" s="342"/>
      <c r="I722" s="343"/>
    </row>
    <row r="723" spans="2:9" ht="24">
      <c r="B723" s="43" t="s">
        <v>0</v>
      </c>
      <c r="C723" s="44" t="s">
        <v>45</v>
      </c>
      <c r="D723" s="128" t="s">
        <v>82</v>
      </c>
      <c r="E723" s="115" t="s">
        <v>42</v>
      </c>
      <c r="F723" s="126" t="s">
        <v>43</v>
      </c>
      <c r="G723" s="45" t="s">
        <v>1</v>
      </c>
      <c r="H723" s="46" t="s">
        <v>29</v>
      </c>
      <c r="I723" s="47" t="s">
        <v>30</v>
      </c>
    </row>
    <row r="724" spans="2:9" ht="13.2">
      <c r="B724" s="49" t="s">
        <v>65</v>
      </c>
      <c r="C724" s="50" t="s">
        <v>36</v>
      </c>
      <c r="D724" s="51"/>
      <c r="E724" s="52" t="s">
        <v>13</v>
      </c>
      <c r="F724" s="53"/>
      <c r="G724" s="54"/>
      <c r="H724" s="55"/>
      <c r="I724" s="56"/>
    </row>
    <row r="725" spans="2:9" ht="13.2">
      <c r="B725" s="49"/>
      <c r="C725" s="57"/>
      <c r="D725" s="58"/>
      <c r="E725" s="2" t="s">
        <v>2</v>
      </c>
      <c r="F725" s="3"/>
      <c r="G725" s="14"/>
      <c r="H725" s="59"/>
      <c r="I725" s="11"/>
    </row>
    <row r="726" spans="2:9" ht="12">
      <c r="B726" s="49" t="s">
        <v>66</v>
      </c>
      <c r="C726" s="60" t="s">
        <v>37</v>
      </c>
      <c r="D726" s="61"/>
      <c r="E726" s="62" t="s">
        <v>64</v>
      </c>
      <c r="F726" s="63" t="s">
        <v>12</v>
      </c>
      <c r="G726" s="64" t="s">
        <v>12</v>
      </c>
      <c r="H726" s="65" t="s">
        <v>12</v>
      </c>
      <c r="I726" s="66" t="s">
        <v>12</v>
      </c>
    </row>
    <row r="727" spans="2:9" ht="13.2">
      <c r="B727" s="25" t="s">
        <v>67</v>
      </c>
      <c r="C727" s="67"/>
      <c r="D727" s="68"/>
      <c r="E727" s="69" t="s">
        <v>35</v>
      </c>
      <c r="F727" s="70" t="s">
        <v>15</v>
      </c>
      <c r="G727" s="152">
        <v>787.5</v>
      </c>
      <c r="H727" s="72">
        <f>H712</f>
        <v>0</v>
      </c>
      <c r="I727" s="201">
        <f>ROUND($G727*H727,2)</f>
        <v>0</v>
      </c>
    </row>
    <row r="728" spans="2:9" ht="13.2">
      <c r="B728" s="78"/>
      <c r="C728" s="79"/>
      <c r="D728" s="80"/>
      <c r="E728" s="81" t="s">
        <v>16</v>
      </c>
      <c r="F728" s="82" t="s">
        <v>34</v>
      </c>
      <c r="G728" s="34"/>
      <c r="H728" s="116"/>
      <c r="I728" s="117" t="s">
        <v>12</v>
      </c>
    </row>
    <row r="729" spans="2:9" ht="13.2">
      <c r="B729" s="49" t="s">
        <v>71</v>
      </c>
      <c r="C729" s="50" t="s">
        <v>38</v>
      </c>
      <c r="D729" s="51"/>
      <c r="E729" s="52" t="s">
        <v>17</v>
      </c>
      <c r="F729" s="53"/>
      <c r="G729" s="133"/>
      <c r="H729" s="202"/>
      <c r="I729" s="56"/>
    </row>
    <row r="730" spans="2:9" ht="24">
      <c r="B730" s="49"/>
      <c r="C730" s="57"/>
      <c r="D730" s="58"/>
      <c r="E730" s="85" t="s">
        <v>63</v>
      </c>
      <c r="F730" s="3"/>
      <c r="G730" s="36"/>
      <c r="H730" s="30"/>
      <c r="I730" s="30"/>
    </row>
    <row r="731" spans="2:9" ht="13.2">
      <c r="B731" s="49" t="s">
        <v>72</v>
      </c>
      <c r="C731" s="87" t="s">
        <v>39</v>
      </c>
      <c r="D731" s="88"/>
      <c r="E731" s="89" t="s">
        <v>18</v>
      </c>
      <c r="F731" s="90" t="s">
        <v>12</v>
      </c>
      <c r="G731" s="91" t="s">
        <v>12</v>
      </c>
      <c r="H731" s="92"/>
      <c r="I731" s="93" t="s">
        <v>12</v>
      </c>
    </row>
    <row r="732" spans="2:9" ht="45.6">
      <c r="B732" s="25" t="s">
        <v>73</v>
      </c>
      <c r="C732" s="94"/>
      <c r="D732" s="95"/>
      <c r="E732" s="96" t="s">
        <v>19</v>
      </c>
      <c r="F732" s="90" t="s">
        <v>20</v>
      </c>
      <c r="G732" s="152">
        <v>1408.8</v>
      </c>
      <c r="H732" s="72">
        <f>H717</f>
        <v>0</v>
      </c>
      <c r="I732" s="201">
        <f>ROUND($G732*H732,2)</f>
        <v>0</v>
      </c>
    </row>
    <row r="733" spans="2:9" ht="13.2">
      <c r="B733" s="49" t="s">
        <v>74</v>
      </c>
      <c r="C733" s="87" t="s">
        <v>40</v>
      </c>
      <c r="D733" s="88"/>
      <c r="E733" s="97" t="s">
        <v>22</v>
      </c>
      <c r="F733" s="90" t="s">
        <v>12</v>
      </c>
      <c r="G733" s="91" t="s">
        <v>12</v>
      </c>
      <c r="H733" s="92"/>
      <c r="I733" s="93" t="s">
        <v>12</v>
      </c>
    </row>
    <row r="734" spans="2:9" ht="34.200000000000003">
      <c r="B734" s="25" t="s">
        <v>75</v>
      </c>
      <c r="C734" s="98"/>
      <c r="D734" s="99"/>
      <c r="E734" s="100" t="s">
        <v>32</v>
      </c>
      <c r="F734" s="90" t="s">
        <v>20</v>
      </c>
      <c r="G734" s="152">
        <v>90</v>
      </c>
      <c r="H734" s="72">
        <f>H719</f>
        <v>0</v>
      </c>
      <c r="I734" s="201">
        <f>ROUND($G734*H734,2)</f>
        <v>0</v>
      </c>
    </row>
    <row r="735" spans="2:9" ht="13.8">
      <c r="B735" s="49"/>
      <c r="C735" s="359" t="s">
        <v>81</v>
      </c>
      <c r="D735" s="360"/>
      <c r="E735" s="361"/>
      <c r="F735" s="105"/>
      <c r="G735" s="34"/>
      <c r="H735" s="29" t="s">
        <v>12</v>
      </c>
      <c r="I735" s="114">
        <f>SUM(I727:I734)</f>
        <v>0</v>
      </c>
    </row>
    <row r="736" spans="2:9" ht="26.4">
      <c r="B736" s="41" t="s">
        <v>41</v>
      </c>
      <c r="C736" s="352" t="s">
        <v>147</v>
      </c>
      <c r="D736" s="353"/>
      <c r="E736" s="354"/>
      <c r="F736" s="354"/>
      <c r="G736" s="354"/>
      <c r="H736" s="354"/>
      <c r="I736" s="355"/>
    </row>
    <row r="737" spans="2:9" ht="26.4">
      <c r="B737" s="127" t="s">
        <v>83</v>
      </c>
      <c r="C737" s="340" t="s">
        <v>176</v>
      </c>
      <c r="D737" s="341"/>
      <c r="E737" s="342"/>
      <c r="F737" s="342"/>
      <c r="G737" s="342"/>
      <c r="H737" s="342"/>
      <c r="I737" s="343"/>
    </row>
    <row r="738" spans="2:9" ht="24">
      <c r="B738" s="43" t="s">
        <v>0</v>
      </c>
      <c r="C738" s="44" t="s">
        <v>45</v>
      </c>
      <c r="D738" s="128" t="s">
        <v>82</v>
      </c>
      <c r="E738" s="115" t="s">
        <v>42</v>
      </c>
      <c r="F738" s="126" t="s">
        <v>43</v>
      </c>
      <c r="G738" s="45" t="s">
        <v>1</v>
      </c>
      <c r="H738" s="46" t="s">
        <v>29</v>
      </c>
      <c r="I738" s="47" t="s">
        <v>30</v>
      </c>
    </row>
    <row r="739" spans="2:9" ht="13.2">
      <c r="B739" s="49" t="s">
        <v>65</v>
      </c>
      <c r="C739" s="50" t="s">
        <v>36</v>
      </c>
      <c r="D739" s="51"/>
      <c r="E739" s="52" t="s">
        <v>13</v>
      </c>
      <c r="F739" s="53"/>
      <c r="G739" s="54"/>
      <c r="H739" s="55"/>
      <c r="I739" s="56"/>
    </row>
    <row r="740" spans="2:9" ht="13.2">
      <c r="B740" s="49"/>
      <c r="C740" s="57"/>
      <c r="D740" s="58"/>
      <c r="E740" s="2" t="s">
        <v>2</v>
      </c>
      <c r="F740" s="3"/>
      <c r="G740" s="14"/>
      <c r="H740" s="59"/>
      <c r="I740" s="11"/>
    </row>
    <row r="741" spans="2:9" ht="12">
      <c r="B741" s="49" t="s">
        <v>66</v>
      </c>
      <c r="C741" s="60" t="s">
        <v>37</v>
      </c>
      <c r="D741" s="61"/>
      <c r="E741" s="62" t="s">
        <v>64</v>
      </c>
      <c r="F741" s="63" t="s">
        <v>12</v>
      </c>
      <c r="G741" s="64" t="s">
        <v>12</v>
      </c>
      <c r="H741" s="65" t="s">
        <v>12</v>
      </c>
      <c r="I741" s="66" t="s">
        <v>12</v>
      </c>
    </row>
    <row r="742" spans="2:9" ht="13.2">
      <c r="B742" s="25" t="s">
        <v>67</v>
      </c>
      <c r="C742" s="67"/>
      <c r="D742" s="68"/>
      <c r="E742" s="69" t="s">
        <v>35</v>
      </c>
      <c r="F742" s="70" t="s">
        <v>15</v>
      </c>
      <c r="G742" s="152">
        <v>2560</v>
      </c>
      <c r="H742" s="72">
        <f>H727</f>
        <v>0</v>
      </c>
      <c r="I742" s="201">
        <f>ROUND($G742*H742,2)</f>
        <v>0</v>
      </c>
    </row>
    <row r="743" spans="2:9" ht="13.2">
      <c r="B743" s="78"/>
      <c r="C743" s="79"/>
      <c r="D743" s="80"/>
      <c r="E743" s="81" t="s">
        <v>16</v>
      </c>
      <c r="F743" s="82" t="s">
        <v>34</v>
      </c>
      <c r="G743" s="34"/>
      <c r="H743" s="116"/>
      <c r="I743" s="117" t="s">
        <v>12</v>
      </c>
    </row>
    <row r="744" spans="2:9" ht="13.2">
      <c r="B744" s="49" t="s">
        <v>71</v>
      </c>
      <c r="C744" s="50" t="s">
        <v>38</v>
      </c>
      <c r="D744" s="51"/>
      <c r="E744" s="52" t="s">
        <v>17</v>
      </c>
      <c r="F744" s="53"/>
      <c r="G744" s="133"/>
      <c r="H744" s="202"/>
      <c r="I744" s="56"/>
    </row>
    <row r="745" spans="2:9" ht="24">
      <c r="B745" s="49"/>
      <c r="C745" s="57"/>
      <c r="D745" s="58"/>
      <c r="E745" s="85" t="s">
        <v>63</v>
      </c>
      <c r="F745" s="3"/>
      <c r="G745" s="36"/>
      <c r="H745" s="30"/>
      <c r="I745" s="30"/>
    </row>
    <row r="746" spans="2:9" ht="13.2">
      <c r="B746" s="49" t="s">
        <v>72</v>
      </c>
      <c r="C746" s="87" t="s">
        <v>39</v>
      </c>
      <c r="D746" s="88"/>
      <c r="E746" s="89" t="s">
        <v>18</v>
      </c>
      <c r="F746" s="90" t="s">
        <v>12</v>
      </c>
      <c r="G746" s="91" t="s">
        <v>12</v>
      </c>
      <c r="H746" s="92"/>
      <c r="I746" s="93" t="s">
        <v>12</v>
      </c>
    </row>
    <row r="747" spans="2:9" ht="45.6">
      <c r="B747" s="25" t="s">
        <v>73</v>
      </c>
      <c r="C747" s="94"/>
      <c r="D747" s="95"/>
      <c r="E747" s="96" t="s">
        <v>19</v>
      </c>
      <c r="F747" s="90" t="s">
        <v>20</v>
      </c>
      <c r="G747" s="152">
        <v>1880</v>
      </c>
      <c r="H747" s="72">
        <f>H732</f>
        <v>0</v>
      </c>
      <c r="I747" s="201">
        <f>ROUND($G747*H747,2)</f>
        <v>0</v>
      </c>
    </row>
    <row r="748" spans="2:9" ht="13.2">
      <c r="B748" s="49" t="s">
        <v>74</v>
      </c>
      <c r="C748" s="87" t="s">
        <v>40</v>
      </c>
      <c r="D748" s="88"/>
      <c r="E748" s="97" t="s">
        <v>22</v>
      </c>
      <c r="F748" s="90" t="s">
        <v>12</v>
      </c>
      <c r="G748" s="91" t="s">
        <v>12</v>
      </c>
      <c r="H748" s="92"/>
      <c r="I748" s="93" t="s">
        <v>12</v>
      </c>
    </row>
    <row r="749" spans="2:9" ht="34.200000000000003">
      <c r="B749" s="25" t="s">
        <v>75</v>
      </c>
      <c r="C749" s="98"/>
      <c r="D749" s="99"/>
      <c r="E749" s="100" t="s">
        <v>32</v>
      </c>
      <c r="F749" s="90" t="s">
        <v>20</v>
      </c>
      <c r="G749" s="152">
        <v>610</v>
      </c>
      <c r="H749" s="72">
        <f>H734</f>
        <v>0</v>
      </c>
      <c r="I749" s="201">
        <f>ROUND($G749*H749,2)</f>
        <v>0</v>
      </c>
    </row>
    <row r="750" spans="2:9" ht="13.8">
      <c r="B750" s="49"/>
      <c r="C750" s="359" t="s">
        <v>81</v>
      </c>
      <c r="D750" s="360"/>
      <c r="E750" s="361"/>
      <c r="F750" s="105"/>
      <c r="G750" s="34"/>
      <c r="H750" s="29" t="s">
        <v>12</v>
      </c>
      <c r="I750" s="114">
        <f>SUM(I742:I749)</f>
        <v>0</v>
      </c>
    </row>
    <row r="751" spans="2:9" ht="26.4">
      <c r="B751" s="41" t="s">
        <v>41</v>
      </c>
      <c r="C751" s="352" t="s">
        <v>147</v>
      </c>
      <c r="D751" s="353"/>
      <c r="E751" s="354"/>
      <c r="F751" s="354"/>
      <c r="G751" s="354"/>
      <c r="H751" s="354"/>
      <c r="I751" s="355"/>
    </row>
    <row r="752" spans="2:9" ht="26.4">
      <c r="B752" s="127" t="s">
        <v>83</v>
      </c>
      <c r="C752" s="340" t="s">
        <v>177</v>
      </c>
      <c r="D752" s="341"/>
      <c r="E752" s="342"/>
      <c r="F752" s="342"/>
      <c r="G752" s="342"/>
      <c r="H752" s="342"/>
      <c r="I752" s="343"/>
    </row>
    <row r="753" spans="2:9" ht="24">
      <c r="B753" s="43" t="s">
        <v>0</v>
      </c>
      <c r="C753" s="44" t="s">
        <v>45</v>
      </c>
      <c r="D753" s="128" t="s">
        <v>82</v>
      </c>
      <c r="E753" s="115" t="s">
        <v>42</v>
      </c>
      <c r="F753" s="126" t="s">
        <v>43</v>
      </c>
      <c r="G753" s="45" t="s">
        <v>1</v>
      </c>
      <c r="H753" s="46" t="s">
        <v>29</v>
      </c>
      <c r="I753" s="47" t="s">
        <v>30</v>
      </c>
    </row>
    <row r="754" spans="2:9" ht="13.2">
      <c r="B754" s="49" t="s">
        <v>65</v>
      </c>
      <c r="C754" s="50" t="s">
        <v>36</v>
      </c>
      <c r="D754" s="51"/>
      <c r="E754" s="52" t="s">
        <v>13</v>
      </c>
      <c r="F754" s="53"/>
      <c r="G754" s="54"/>
      <c r="H754" s="55"/>
      <c r="I754" s="56"/>
    </row>
    <row r="755" spans="2:9" ht="13.2">
      <c r="B755" s="49"/>
      <c r="C755" s="57"/>
      <c r="D755" s="58"/>
      <c r="E755" s="2" t="s">
        <v>2</v>
      </c>
      <c r="F755" s="3"/>
      <c r="G755" s="14"/>
      <c r="H755" s="59"/>
      <c r="I755" s="11"/>
    </row>
    <row r="756" spans="2:9" ht="12">
      <c r="B756" s="49" t="s">
        <v>66</v>
      </c>
      <c r="C756" s="60" t="s">
        <v>37</v>
      </c>
      <c r="D756" s="61"/>
      <c r="E756" s="62" t="s">
        <v>64</v>
      </c>
      <c r="F756" s="63" t="s">
        <v>12</v>
      </c>
      <c r="G756" s="64" t="s">
        <v>12</v>
      </c>
      <c r="H756" s="65" t="s">
        <v>12</v>
      </c>
      <c r="I756" s="66" t="s">
        <v>12</v>
      </c>
    </row>
    <row r="757" spans="2:9" ht="13.2">
      <c r="B757" s="25" t="s">
        <v>67</v>
      </c>
      <c r="C757" s="67"/>
      <c r="D757" s="68"/>
      <c r="E757" s="69" t="s">
        <v>35</v>
      </c>
      <c r="F757" s="70" t="s">
        <v>15</v>
      </c>
      <c r="G757" s="152">
        <v>85</v>
      </c>
      <c r="H757" s="72">
        <f>H742</f>
        <v>0</v>
      </c>
      <c r="I757" s="201">
        <f>ROUND($G757*H757,2)</f>
        <v>0</v>
      </c>
    </row>
    <row r="758" spans="2:9" ht="13.2">
      <c r="B758" s="78"/>
      <c r="C758" s="79"/>
      <c r="D758" s="80"/>
      <c r="E758" s="81" t="s">
        <v>16</v>
      </c>
      <c r="F758" s="82" t="s">
        <v>34</v>
      </c>
      <c r="G758" s="34"/>
      <c r="H758" s="116"/>
      <c r="I758" s="117" t="s">
        <v>12</v>
      </c>
    </row>
    <row r="759" spans="2:9" ht="13.2">
      <c r="B759" s="49" t="s">
        <v>71</v>
      </c>
      <c r="C759" s="50" t="s">
        <v>38</v>
      </c>
      <c r="D759" s="51"/>
      <c r="E759" s="52" t="s">
        <v>17</v>
      </c>
      <c r="F759" s="53"/>
      <c r="G759" s="133"/>
      <c r="H759" s="202"/>
      <c r="I759" s="56"/>
    </row>
    <row r="760" spans="2:9" ht="24">
      <c r="B760" s="49"/>
      <c r="C760" s="57"/>
      <c r="D760" s="58"/>
      <c r="E760" s="85" t="s">
        <v>63</v>
      </c>
      <c r="F760" s="3"/>
      <c r="G760" s="36"/>
      <c r="H760" s="30"/>
      <c r="I760" s="30"/>
    </row>
    <row r="761" spans="2:9" ht="13.2">
      <c r="B761" s="49" t="s">
        <v>72</v>
      </c>
      <c r="C761" s="87" t="s">
        <v>39</v>
      </c>
      <c r="D761" s="88"/>
      <c r="E761" s="89" t="s">
        <v>18</v>
      </c>
      <c r="F761" s="90" t="s">
        <v>12</v>
      </c>
      <c r="G761" s="91" t="s">
        <v>12</v>
      </c>
      <c r="H761" s="92"/>
      <c r="I761" s="93" t="s">
        <v>12</v>
      </c>
    </row>
    <row r="762" spans="2:9" ht="45.6">
      <c r="B762" s="25" t="s">
        <v>73</v>
      </c>
      <c r="C762" s="94"/>
      <c r="D762" s="95"/>
      <c r="E762" s="96" t="s">
        <v>19</v>
      </c>
      <c r="F762" s="90" t="s">
        <v>20</v>
      </c>
      <c r="G762" s="152">
        <v>740</v>
      </c>
      <c r="H762" s="72">
        <f>H747</f>
        <v>0</v>
      </c>
      <c r="I762" s="201">
        <f>ROUND($G762*H762,2)</f>
        <v>0</v>
      </c>
    </row>
    <row r="763" spans="2:9" ht="13.2">
      <c r="B763" s="49" t="s">
        <v>74</v>
      </c>
      <c r="C763" s="87" t="s">
        <v>40</v>
      </c>
      <c r="D763" s="88"/>
      <c r="E763" s="97" t="s">
        <v>22</v>
      </c>
      <c r="F763" s="90" t="s">
        <v>12</v>
      </c>
      <c r="G763" s="91" t="s">
        <v>12</v>
      </c>
      <c r="H763" s="92"/>
      <c r="I763" s="93" t="s">
        <v>12</v>
      </c>
    </row>
    <row r="764" spans="2:9" ht="34.200000000000003">
      <c r="B764" s="25" t="s">
        <v>75</v>
      </c>
      <c r="C764" s="98"/>
      <c r="D764" s="99"/>
      <c r="E764" s="100" t="s">
        <v>32</v>
      </c>
      <c r="F764" s="90" t="s">
        <v>20</v>
      </c>
      <c r="G764" s="152">
        <v>190</v>
      </c>
      <c r="H764" s="72">
        <f>H749</f>
        <v>0</v>
      </c>
      <c r="I764" s="201">
        <f>ROUND($G764*H764,2)</f>
        <v>0</v>
      </c>
    </row>
    <row r="765" spans="2:9" ht="13.8">
      <c r="B765" s="49"/>
      <c r="C765" s="359" t="s">
        <v>81</v>
      </c>
      <c r="D765" s="360"/>
      <c r="E765" s="361"/>
      <c r="F765" s="105"/>
      <c r="G765" s="34"/>
      <c r="H765" s="29"/>
      <c r="I765" s="227">
        <f>SUM(I757:I764)</f>
        <v>0</v>
      </c>
    </row>
    <row r="766" spans="2:9" ht="26.4">
      <c r="B766" s="41" t="s">
        <v>41</v>
      </c>
      <c r="C766" s="352" t="s">
        <v>147</v>
      </c>
      <c r="D766" s="353"/>
      <c r="E766" s="354"/>
      <c r="F766" s="354"/>
      <c r="G766" s="354"/>
      <c r="H766" s="354"/>
      <c r="I766" s="355"/>
    </row>
    <row r="767" spans="2:9" ht="26.4">
      <c r="B767" s="127" t="s">
        <v>83</v>
      </c>
      <c r="C767" s="340" t="s">
        <v>178</v>
      </c>
      <c r="D767" s="341"/>
      <c r="E767" s="342"/>
      <c r="F767" s="342"/>
      <c r="G767" s="342"/>
      <c r="H767" s="342"/>
      <c r="I767" s="343"/>
    </row>
    <row r="768" spans="2:9" ht="24">
      <c r="B768" s="43" t="s">
        <v>0</v>
      </c>
      <c r="C768" s="44" t="s">
        <v>45</v>
      </c>
      <c r="D768" s="128" t="s">
        <v>82</v>
      </c>
      <c r="E768" s="115" t="s">
        <v>42</v>
      </c>
      <c r="F768" s="126" t="s">
        <v>43</v>
      </c>
      <c r="G768" s="45" t="s">
        <v>1</v>
      </c>
      <c r="H768" s="46" t="s">
        <v>29</v>
      </c>
      <c r="I768" s="47" t="s">
        <v>30</v>
      </c>
    </row>
    <row r="769" spans="2:9" ht="13.2">
      <c r="B769" s="49" t="s">
        <v>65</v>
      </c>
      <c r="C769" s="50" t="s">
        <v>36</v>
      </c>
      <c r="D769" s="51"/>
      <c r="E769" s="52" t="s">
        <v>13</v>
      </c>
      <c r="F769" s="53"/>
      <c r="G769" s="54"/>
      <c r="H769" s="55"/>
      <c r="I769" s="56"/>
    </row>
    <row r="770" spans="2:9" ht="13.2">
      <c r="B770" s="49"/>
      <c r="C770" s="57"/>
      <c r="D770" s="58"/>
      <c r="E770" s="2" t="s">
        <v>2</v>
      </c>
      <c r="F770" s="3"/>
      <c r="G770" s="14"/>
      <c r="H770" s="59"/>
      <c r="I770" s="11"/>
    </row>
    <row r="771" spans="2:9" ht="12">
      <c r="B771" s="49" t="s">
        <v>66</v>
      </c>
      <c r="C771" s="60" t="s">
        <v>37</v>
      </c>
      <c r="D771" s="61"/>
      <c r="E771" s="62" t="s">
        <v>64</v>
      </c>
      <c r="F771" s="63" t="s">
        <v>12</v>
      </c>
      <c r="G771" s="64" t="s">
        <v>12</v>
      </c>
      <c r="H771" s="65" t="s">
        <v>12</v>
      </c>
      <c r="I771" s="66" t="s">
        <v>12</v>
      </c>
    </row>
    <row r="772" spans="2:9" ht="13.2">
      <c r="B772" s="25" t="s">
        <v>67</v>
      </c>
      <c r="C772" s="67"/>
      <c r="D772" s="68"/>
      <c r="E772" s="69" t="s">
        <v>35</v>
      </c>
      <c r="F772" s="70" t="s">
        <v>15</v>
      </c>
      <c r="G772" s="152">
        <v>880</v>
      </c>
      <c r="H772" s="72">
        <f>H757</f>
        <v>0</v>
      </c>
      <c r="I772" s="201">
        <f>ROUND($G772*H772,2)</f>
        <v>0</v>
      </c>
    </row>
    <row r="773" spans="2:9" ht="13.2">
      <c r="B773" s="78"/>
      <c r="C773" s="79"/>
      <c r="D773" s="80"/>
      <c r="E773" s="81" t="s">
        <v>16</v>
      </c>
      <c r="F773" s="82" t="s">
        <v>34</v>
      </c>
      <c r="G773" s="34"/>
      <c r="H773" s="116"/>
      <c r="I773" s="117" t="s">
        <v>12</v>
      </c>
    </row>
    <row r="774" spans="2:9" ht="13.2">
      <c r="B774" s="49" t="s">
        <v>71</v>
      </c>
      <c r="C774" s="50" t="s">
        <v>38</v>
      </c>
      <c r="D774" s="51"/>
      <c r="E774" s="52" t="s">
        <v>17</v>
      </c>
      <c r="F774" s="53"/>
      <c r="G774" s="133"/>
      <c r="H774" s="202"/>
      <c r="I774" s="56"/>
    </row>
    <row r="775" spans="2:9" ht="24">
      <c r="B775" s="49"/>
      <c r="C775" s="57"/>
      <c r="D775" s="58"/>
      <c r="E775" s="85" t="s">
        <v>63</v>
      </c>
      <c r="F775" s="3"/>
      <c r="G775" s="36"/>
      <c r="H775" s="30"/>
      <c r="I775" s="30"/>
    </row>
    <row r="776" spans="2:9" ht="13.2">
      <c r="B776" s="49" t="s">
        <v>72</v>
      </c>
      <c r="C776" s="87" t="s">
        <v>39</v>
      </c>
      <c r="D776" s="88"/>
      <c r="E776" s="89" t="s">
        <v>18</v>
      </c>
      <c r="F776" s="90" t="s">
        <v>12</v>
      </c>
      <c r="G776" s="91" t="s">
        <v>12</v>
      </c>
      <c r="H776" s="92"/>
      <c r="I776" s="93" t="s">
        <v>12</v>
      </c>
    </row>
    <row r="777" spans="2:9" ht="45.6">
      <c r="B777" s="25" t="s">
        <v>73</v>
      </c>
      <c r="C777" s="94"/>
      <c r="D777" s="95"/>
      <c r="E777" s="96" t="s">
        <v>19</v>
      </c>
      <c r="F777" s="90" t="s">
        <v>20</v>
      </c>
      <c r="G777" s="152">
        <v>5190</v>
      </c>
      <c r="H777" s="72">
        <f>H762</f>
        <v>0</v>
      </c>
      <c r="I777" s="201">
        <f>ROUND($G777*H777,2)</f>
        <v>0</v>
      </c>
    </row>
    <row r="778" spans="2:9" ht="13.2">
      <c r="B778" s="49" t="s">
        <v>74</v>
      </c>
      <c r="C778" s="87" t="s">
        <v>40</v>
      </c>
      <c r="D778" s="88"/>
      <c r="E778" s="97" t="s">
        <v>22</v>
      </c>
      <c r="F778" s="90" t="s">
        <v>12</v>
      </c>
      <c r="G778" s="91" t="s">
        <v>12</v>
      </c>
      <c r="H778" s="92"/>
      <c r="I778" s="93" t="s">
        <v>12</v>
      </c>
    </row>
    <row r="779" spans="2:9" ht="34.200000000000003">
      <c r="B779" s="25" t="s">
        <v>75</v>
      </c>
      <c r="C779" s="98"/>
      <c r="D779" s="99"/>
      <c r="E779" s="100" t="s">
        <v>32</v>
      </c>
      <c r="F779" s="90" t="s">
        <v>20</v>
      </c>
      <c r="G779" s="152">
        <v>290</v>
      </c>
      <c r="H779" s="72">
        <f>H764</f>
        <v>0</v>
      </c>
      <c r="I779" s="201">
        <f>ROUND($G779*H779,2)</f>
        <v>0</v>
      </c>
    </row>
    <row r="780" spans="2:9" ht="13.8">
      <c r="B780" s="49"/>
      <c r="C780" s="359" t="s">
        <v>81</v>
      </c>
      <c r="D780" s="360"/>
      <c r="E780" s="361"/>
      <c r="F780" s="105"/>
      <c r="G780" s="34"/>
      <c r="H780" s="29" t="s">
        <v>12</v>
      </c>
      <c r="I780" s="108">
        <f>SUM(I772:I779)</f>
        <v>0</v>
      </c>
    </row>
    <row r="781" spans="2:9" ht="26.4">
      <c r="B781" s="127" t="s">
        <v>83</v>
      </c>
      <c r="C781" s="340" t="s">
        <v>179</v>
      </c>
      <c r="D781" s="341"/>
      <c r="E781" s="342"/>
      <c r="F781" s="342"/>
      <c r="G781" s="342"/>
      <c r="H781" s="342"/>
      <c r="I781" s="343"/>
    </row>
    <row r="782" spans="2:9" ht="24">
      <c r="B782" s="43" t="s">
        <v>0</v>
      </c>
      <c r="C782" s="44" t="s">
        <v>45</v>
      </c>
      <c r="D782" s="128" t="s">
        <v>82</v>
      </c>
      <c r="E782" s="115" t="s">
        <v>42</v>
      </c>
      <c r="F782" s="126" t="s">
        <v>43</v>
      </c>
      <c r="G782" s="45" t="s">
        <v>1</v>
      </c>
      <c r="H782" s="46" t="s">
        <v>29</v>
      </c>
      <c r="I782" s="47" t="s">
        <v>30</v>
      </c>
    </row>
    <row r="783" spans="2:9" ht="13.2">
      <c r="B783" s="49" t="s">
        <v>65</v>
      </c>
      <c r="C783" s="50" t="s">
        <v>36</v>
      </c>
      <c r="D783" s="51"/>
      <c r="E783" s="52" t="s">
        <v>13</v>
      </c>
      <c r="F783" s="53"/>
      <c r="G783" s="54"/>
      <c r="H783" s="55"/>
      <c r="I783" s="56"/>
    </row>
    <row r="784" spans="2:9" ht="13.2">
      <c r="B784" s="49"/>
      <c r="C784" s="57"/>
      <c r="D784" s="58"/>
      <c r="E784" s="2" t="s">
        <v>2</v>
      </c>
      <c r="F784" s="3"/>
      <c r="G784" s="14"/>
      <c r="H784" s="59"/>
      <c r="I784" s="11"/>
    </row>
    <row r="785" spans="2:9" ht="12">
      <c r="B785" s="49" t="s">
        <v>66</v>
      </c>
      <c r="C785" s="60" t="s">
        <v>37</v>
      </c>
      <c r="D785" s="61"/>
      <c r="E785" s="62" t="s">
        <v>64</v>
      </c>
      <c r="F785" s="63" t="s">
        <v>12</v>
      </c>
      <c r="G785" s="64" t="s">
        <v>12</v>
      </c>
      <c r="H785" s="65" t="s">
        <v>12</v>
      </c>
      <c r="I785" s="66" t="s">
        <v>12</v>
      </c>
    </row>
    <row r="786" spans="2:9" ht="13.2">
      <c r="B786" s="25" t="s">
        <v>67</v>
      </c>
      <c r="C786" s="67"/>
      <c r="D786" s="68"/>
      <c r="E786" s="69" t="s">
        <v>35</v>
      </c>
      <c r="F786" s="70" t="s">
        <v>15</v>
      </c>
      <c r="G786" s="152">
        <v>970</v>
      </c>
      <c r="H786" s="72">
        <f>H772</f>
        <v>0</v>
      </c>
      <c r="I786" s="201">
        <f>ROUND($G786*H786,2)</f>
        <v>0</v>
      </c>
    </row>
    <row r="787" spans="2:9" ht="13.2">
      <c r="B787" s="78"/>
      <c r="C787" s="79"/>
      <c r="D787" s="80"/>
      <c r="E787" s="81" t="s">
        <v>16</v>
      </c>
      <c r="F787" s="82" t="s">
        <v>34</v>
      </c>
      <c r="G787" s="34"/>
      <c r="H787" s="116"/>
      <c r="I787" s="117" t="s">
        <v>12</v>
      </c>
    </row>
    <row r="788" spans="2:9" ht="13.2">
      <c r="B788" s="49" t="s">
        <v>71</v>
      </c>
      <c r="C788" s="50" t="s">
        <v>38</v>
      </c>
      <c r="D788" s="51"/>
      <c r="E788" s="52" t="s">
        <v>17</v>
      </c>
      <c r="F788" s="53"/>
      <c r="G788" s="133"/>
      <c r="H788" s="202"/>
      <c r="I788" s="56"/>
    </row>
    <row r="789" spans="2:9" ht="24">
      <c r="B789" s="49"/>
      <c r="C789" s="57"/>
      <c r="D789" s="58"/>
      <c r="E789" s="85" t="s">
        <v>63</v>
      </c>
      <c r="F789" s="3"/>
      <c r="G789" s="36"/>
      <c r="H789" s="30"/>
      <c r="I789" s="30"/>
    </row>
    <row r="790" spans="2:9" ht="13.2">
      <c r="B790" s="49" t="s">
        <v>72</v>
      </c>
      <c r="C790" s="87" t="s">
        <v>39</v>
      </c>
      <c r="D790" s="88"/>
      <c r="E790" s="89" t="s">
        <v>18</v>
      </c>
      <c r="F790" s="90" t="s">
        <v>12</v>
      </c>
      <c r="G790" s="91" t="s">
        <v>12</v>
      </c>
      <c r="H790" s="92"/>
      <c r="I790" s="93" t="s">
        <v>12</v>
      </c>
    </row>
    <row r="791" spans="2:9" ht="45.6">
      <c r="B791" s="25" t="s">
        <v>73</v>
      </c>
      <c r="C791" s="94"/>
      <c r="D791" s="95"/>
      <c r="E791" s="96" t="s">
        <v>19</v>
      </c>
      <c r="F791" s="90" t="s">
        <v>20</v>
      </c>
      <c r="G791" s="152">
        <v>320</v>
      </c>
      <c r="H791" s="72">
        <f>H777</f>
        <v>0</v>
      </c>
      <c r="I791" s="201">
        <f>ROUND($G791*H791,2)</f>
        <v>0</v>
      </c>
    </row>
    <row r="792" spans="2:9" ht="13.2">
      <c r="B792" s="49" t="s">
        <v>74</v>
      </c>
      <c r="C792" s="87" t="s">
        <v>40</v>
      </c>
      <c r="D792" s="88"/>
      <c r="E792" s="97" t="s">
        <v>22</v>
      </c>
      <c r="F792" s="90" t="s">
        <v>12</v>
      </c>
      <c r="G792" s="91" t="s">
        <v>12</v>
      </c>
      <c r="H792" s="92"/>
      <c r="I792" s="93" t="s">
        <v>12</v>
      </c>
    </row>
    <row r="793" spans="2:9" ht="34.200000000000003">
      <c r="B793" s="25" t="s">
        <v>75</v>
      </c>
      <c r="C793" s="98"/>
      <c r="D793" s="99"/>
      <c r="E793" s="100" t="s">
        <v>32</v>
      </c>
      <c r="F793" s="90" t="s">
        <v>20</v>
      </c>
      <c r="G793" s="152">
        <v>530</v>
      </c>
      <c r="H793" s="72">
        <f>H779</f>
        <v>0</v>
      </c>
      <c r="I793" s="201">
        <f>ROUND($G793*H793,2)</f>
        <v>0</v>
      </c>
    </row>
    <row r="794" spans="2:9" ht="13.8">
      <c r="B794" s="49"/>
      <c r="C794" s="359" t="s">
        <v>81</v>
      </c>
      <c r="D794" s="360"/>
      <c r="E794" s="361"/>
      <c r="F794" s="105"/>
      <c r="G794" s="34"/>
      <c r="H794" s="29" t="s">
        <v>12</v>
      </c>
      <c r="I794" s="108">
        <f>SUM(I786:I793)</f>
        <v>0</v>
      </c>
    </row>
    <row r="795" spans="2:9" ht="26.4">
      <c r="B795" s="41" t="s">
        <v>41</v>
      </c>
      <c r="C795" s="352" t="s">
        <v>147</v>
      </c>
      <c r="D795" s="353"/>
      <c r="E795" s="354"/>
      <c r="F795" s="354"/>
      <c r="G795" s="354"/>
      <c r="H795" s="354"/>
      <c r="I795" s="355"/>
    </row>
    <row r="796" spans="2:9" ht="26.4">
      <c r="B796" s="127" t="s">
        <v>83</v>
      </c>
      <c r="C796" s="340" t="s">
        <v>180</v>
      </c>
      <c r="D796" s="341"/>
      <c r="E796" s="342"/>
      <c r="F796" s="342"/>
      <c r="G796" s="342"/>
      <c r="H796" s="342"/>
      <c r="I796" s="343"/>
    </row>
    <row r="797" spans="2:9" ht="24">
      <c r="B797" s="43" t="s">
        <v>0</v>
      </c>
      <c r="C797" s="44" t="s">
        <v>45</v>
      </c>
      <c r="D797" s="128" t="s">
        <v>82</v>
      </c>
      <c r="E797" s="115" t="s">
        <v>42</v>
      </c>
      <c r="F797" s="126" t="s">
        <v>43</v>
      </c>
      <c r="G797" s="45" t="s">
        <v>1</v>
      </c>
      <c r="H797" s="46" t="s">
        <v>29</v>
      </c>
      <c r="I797" s="47" t="s">
        <v>30</v>
      </c>
    </row>
    <row r="798" spans="2:9" ht="13.2">
      <c r="B798" s="49" t="s">
        <v>65</v>
      </c>
      <c r="C798" s="50" t="s">
        <v>36</v>
      </c>
      <c r="D798" s="51"/>
      <c r="E798" s="52" t="s">
        <v>13</v>
      </c>
      <c r="F798" s="53"/>
      <c r="G798" s="54"/>
      <c r="H798" s="55"/>
      <c r="I798" s="56"/>
    </row>
    <row r="799" spans="2:9" ht="13.2">
      <c r="B799" s="49"/>
      <c r="C799" s="57"/>
      <c r="D799" s="58"/>
      <c r="E799" s="2" t="s">
        <v>2</v>
      </c>
      <c r="F799" s="3"/>
      <c r="G799" s="14"/>
      <c r="H799" s="59"/>
      <c r="I799" s="11"/>
    </row>
    <row r="800" spans="2:9" ht="12">
      <c r="B800" s="49" t="s">
        <v>66</v>
      </c>
      <c r="C800" s="60" t="s">
        <v>37</v>
      </c>
      <c r="D800" s="61"/>
      <c r="E800" s="62" t="s">
        <v>64</v>
      </c>
      <c r="F800" s="63" t="s">
        <v>12</v>
      </c>
      <c r="G800" s="64" t="s">
        <v>12</v>
      </c>
      <c r="H800" s="65" t="s">
        <v>12</v>
      </c>
      <c r="I800" s="66" t="s">
        <v>12</v>
      </c>
    </row>
    <row r="801" spans="2:9" ht="13.2">
      <c r="B801" s="25" t="s">
        <v>67</v>
      </c>
      <c r="C801" s="67"/>
      <c r="D801" s="68"/>
      <c r="E801" s="69" t="s">
        <v>35</v>
      </c>
      <c r="F801" s="70" t="s">
        <v>15</v>
      </c>
      <c r="G801" s="152">
        <v>112</v>
      </c>
      <c r="H801" s="145">
        <f>H786</f>
        <v>0</v>
      </c>
      <c r="I801" s="228">
        <f>ROUND($G801*H801,2)</f>
        <v>0</v>
      </c>
    </row>
    <row r="802" spans="2:9" ht="12">
      <c r="B802" s="78"/>
      <c r="C802" s="79"/>
      <c r="D802" s="80"/>
      <c r="E802" s="81" t="s">
        <v>16</v>
      </c>
      <c r="F802" s="82" t="s">
        <v>34</v>
      </c>
      <c r="G802" s="34"/>
      <c r="H802" s="144"/>
      <c r="I802" s="124" t="s">
        <v>12</v>
      </c>
    </row>
    <row r="803" spans="2:9" ht="13.2">
      <c r="B803" s="49" t="s">
        <v>71</v>
      </c>
      <c r="C803" s="50" t="s">
        <v>38</v>
      </c>
      <c r="D803" s="51"/>
      <c r="E803" s="52" t="s">
        <v>17</v>
      </c>
      <c r="F803" s="53"/>
      <c r="G803" s="133"/>
      <c r="H803" s="202"/>
      <c r="I803" s="56"/>
    </row>
    <row r="804" spans="2:9" ht="24">
      <c r="B804" s="49"/>
      <c r="C804" s="57"/>
      <c r="D804" s="58"/>
      <c r="E804" s="85" t="s">
        <v>63</v>
      </c>
      <c r="F804" s="3"/>
      <c r="G804" s="36"/>
      <c r="H804" s="35"/>
      <c r="I804" s="35"/>
    </row>
    <row r="805" spans="2:9" ht="12">
      <c r="B805" s="49" t="s">
        <v>72</v>
      </c>
      <c r="C805" s="87" t="s">
        <v>39</v>
      </c>
      <c r="D805" s="88"/>
      <c r="E805" s="89" t="s">
        <v>18</v>
      </c>
      <c r="F805" s="90" t="s">
        <v>12</v>
      </c>
      <c r="G805" s="91" t="s">
        <v>12</v>
      </c>
      <c r="H805" s="147"/>
      <c r="I805" s="66" t="s">
        <v>12</v>
      </c>
    </row>
    <row r="806" spans="2:9" ht="45.6">
      <c r="B806" s="25" t="s">
        <v>73</v>
      </c>
      <c r="C806" s="94"/>
      <c r="D806" s="95"/>
      <c r="E806" s="96" t="s">
        <v>19</v>
      </c>
      <c r="F806" s="90" t="s">
        <v>20</v>
      </c>
      <c r="G806" s="152">
        <v>112</v>
      </c>
      <c r="H806" s="145">
        <f>H791</f>
        <v>0</v>
      </c>
      <c r="I806" s="228">
        <f>ROUND($G806*H806,2)</f>
        <v>0</v>
      </c>
    </row>
    <row r="807" spans="2:9" ht="12">
      <c r="B807" s="49" t="s">
        <v>74</v>
      </c>
      <c r="C807" s="87" t="s">
        <v>40</v>
      </c>
      <c r="D807" s="88"/>
      <c r="E807" s="97" t="s">
        <v>22</v>
      </c>
      <c r="F807" s="90" t="s">
        <v>12</v>
      </c>
      <c r="G807" s="91" t="s">
        <v>12</v>
      </c>
      <c r="H807" s="147"/>
      <c r="I807" s="66" t="s">
        <v>12</v>
      </c>
    </row>
    <row r="808" spans="2:9" ht="34.200000000000003">
      <c r="B808" s="25" t="s">
        <v>75</v>
      </c>
      <c r="C808" s="98"/>
      <c r="D808" s="99"/>
      <c r="E808" s="100" t="s">
        <v>32</v>
      </c>
      <c r="F808" s="90" t="s">
        <v>20</v>
      </c>
      <c r="G808" s="152">
        <v>220</v>
      </c>
      <c r="H808" s="145">
        <f>H793</f>
        <v>0</v>
      </c>
      <c r="I808" s="228">
        <f>ROUND($G808*H808,2)</f>
        <v>0</v>
      </c>
    </row>
    <row r="809" spans="2:9" ht="13.8">
      <c r="B809" s="49"/>
      <c r="C809" s="359" t="s">
        <v>81</v>
      </c>
      <c r="D809" s="360"/>
      <c r="E809" s="361"/>
      <c r="F809" s="105"/>
      <c r="G809" s="34"/>
      <c r="H809" s="29" t="s">
        <v>12</v>
      </c>
      <c r="I809" s="108">
        <f>SUM(I801:I808)</f>
        <v>0</v>
      </c>
    </row>
    <row r="810" spans="2:9" ht="26.4">
      <c r="B810" s="41" t="s">
        <v>41</v>
      </c>
      <c r="C810" s="352" t="s">
        <v>147</v>
      </c>
      <c r="D810" s="353"/>
      <c r="E810" s="354"/>
      <c r="F810" s="354"/>
      <c r="G810" s="354"/>
      <c r="H810" s="354"/>
      <c r="I810" s="355"/>
    </row>
    <row r="811" spans="2:9" ht="26.4">
      <c r="B811" s="127" t="s">
        <v>83</v>
      </c>
      <c r="C811" s="340" t="s">
        <v>181</v>
      </c>
      <c r="D811" s="341"/>
      <c r="E811" s="342"/>
      <c r="F811" s="342"/>
      <c r="G811" s="342"/>
      <c r="H811" s="342"/>
      <c r="I811" s="343"/>
    </row>
    <row r="812" spans="2:9" ht="24">
      <c r="B812" s="43" t="s">
        <v>0</v>
      </c>
      <c r="C812" s="44" t="s">
        <v>45</v>
      </c>
      <c r="D812" s="128" t="s">
        <v>82</v>
      </c>
      <c r="E812" s="115" t="s">
        <v>42</v>
      </c>
      <c r="F812" s="126" t="s">
        <v>43</v>
      </c>
      <c r="G812" s="45" t="s">
        <v>1</v>
      </c>
      <c r="H812" s="46" t="s">
        <v>29</v>
      </c>
      <c r="I812" s="47" t="s">
        <v>30</v>
      </c>
    </row>
    <row r="813" spans="2:9" ht="13.2">
      <c r="B813" s="49" t="s">
        <v>65</v>
      </c>
      <c r="C813" s="50" t="s">
        <v>36</v>
      </c>
      <c r="D813" s="51"/>
      <c r="E813" s="52" t="s">
        <v>13</v>
      </c>
      <c r="F813" s="53"/>
      <c r="G813" s="54"/>
      <c r="H813" s="55"/>
      <c r="I813" s="56"/>
    </row>
    <row r="814" spans="2:9" ht="13.2">
      <c r="B814" s="49"/>
      <c r="C814" s="57"/>
      <c r="D814" s="58"/>
      <c r="E814" s="2" t="s">
        <v>2</v>
      </c>
      <c r="F814" s="3"/>
      <c r="G814" s="14"/>
      <c r="H814" s="59"/>
      <c r="I814" s="11"/>
    </row>
    <row r="815" spans="2:9" ht="12">
      <c r="B815" s="49" t="s">
        <v>66</v>
      </c>
      <c r="C815" s="60" t="s">
        <v>37</v>
      </c>
      <c r="D815" s="61"/>
      <c r="E815" s="62" t="s">
        <v>64</v>
      </c>
      <c r="F815" s="63" t="s">
        <v>12</v>
      </c>
      <c r="G815" s="64" t="s">
        <v>12</v>
      </c>
      <c r="H815" s="65" t="s">
        <v>12</v>
      </c>
      <c r="I815" s="66" t="s">
        <v>12</v>
      </c>
    </row>
    <row r="816" spans="2:9" ht="13.2">
      <c r="B816" s="25" t="s">
        <v>67</v>
      </c>
      <c r="C816" s="67"/>
      <c r="D816" s="68"/>
      <c r="E816" s="69" t="s">
        <v>35</v>
      </c>
      <c r="F816" s="70" t="s">
        <v>15</v>
      </c>
      <c r="G816" s="71">
        <v>4820</v>
      </c>
      <c r="H816" s="72">
        <f>H801</f>
        <v>0</v>
      </c>
      <c r="I816" s="201">
        <f>ROUND($G816*H816,2)</f>
        <v>0</v>
      </c>
    </row>
    <row r="817" spans="2:9" ht="13.2">
      <c r="B817" s="78"/>
      <c r="C817" s="79"/>
      <c r="D817" s="80"/>
      <c r="E817" s="81" t="s">
        <v>16</v>
      </c>
      <c r="F817" s="82" t="s">
        <v>34</v>
      </c>
      <c r="G817" s="15"/>
      <c r="H817" s="116"/>
      <c r="I817" s="117" t="s">
        <v>12</v>
      </c>
    </row>
    <row r="818" spans="2:9" ht="13.2">
      <c r="B818" s="49" t="s">
        <v>71</v>
      </c>
      <c r="C818" s="50" t="s">
        <v>38</v>
      </c>
      <c r="D818" s="51"/>
      <c r="E818" s="52" t="s">
        <v>17</v>
      </c>
      <c r="F818" s="53"/>
      <c r="G818" s="84"/>
      <c r="H818" s="202"/>
      <c r="I818" s="56"/>
    </row>
    <row r="819" spans="2:9" ht="24">
      <c r="B819" s="49"/>
      <c r="C819" s="57"/>
      <c r="D819" s="58"/>
      <c r="E819" s="85" t="s">
        <v>63</v>
      </c>
      <c r="F819" s="3"/>
      <c r="G819" s="10"/>
      <c r="H819" s="30"/>
      <c r="I819" s="30"/>
    </row>
    <row r="820" spans="2:9" ht="13.2">
      <c r="B820" s="49" t="s">
        <v>72</v>
      </c>
      <c r="C820" s="87" t="s">
        <v>39</v>
      </c>
      <c r="D820" s="88"/>
      <c r="E820" s="89" t="s">
        <v>18</v>
      </c>
      <c r="F820" s="90" t="s">
        <v>12</v>
      </c>
      <c r="G820" s="91" t="s">
        <v>12</v>
      </c>
      <c r="H820" s="92"/>
      <c r="I820" s="93" t="s">
        <v>12</v>
      </c>
    </row>
    <row r="821" spans="2:9" ht="45.6">
      <c r="B821" s="25" t="s">
        <v>73</v>
      </c>
      <c r="C821" s="94"/>
      <c r="D821" s="95"/>
      <c r="E821" s="96" t="s">
        <v>19</v>
      </c>
      <c r="F821" s="90" t="s">
        <v>20</v>
      </c>
      <c r="G821" s="71">
        <v>3420</v>
      </c>
      <c r="H821" s="72">
        <f>H806</f>
        <v>0</v>
      </c>
      <c r="I821" s="201">
        <f>ROUND($G821*H821,2)</f>
        <v>0</v>
      </c>
    </row>
    <row r="822" spans="2:9" ht="13.2">
      <c r="B822" s="49" t="s">
        <v>74</v>
      </c>
      <c r="C822" s="87" t="s">
        <v>40</v>
      </c>
      <c r="D822" s="88"/>
      <c r="E822" s="97" t="s">
        <v>22</v>
      </c>
      <c r="F822" s="90" t="s">
        <v>12</v>
      </c>
      <c r="G822" s="91" t="s">
        <v>12</v>
      </c>
      <c r="H822" s="92"/>
      <c r="I822" s="93" t="s">
        <v>12</v>
      </c>
    </row>
    <row r="823" spans="2:9" ht="34.200000000000003">
      <c r="B823" s="25" t="s">
        <v>75</v>
      </c>
      <c r="C823" s="98"/>
      <c r="D823" s="99"/>
      <c r="E823" s="100" t="s">
        <v>32</v>
      </c>
      <c r="F823" s="90" t="s">
        <v>20</v>
      </c>
      <c r="G823" s="71">
        <v>1745</v>
      </c>
      <c r="H823" s="72">
        <f>H808</f>
        <v>0</v>
      </c>
      <c r="I823" s="201">
        <f>ROUND($G823*H823,2)</f>
        <v>0</v>
      </c>
    </row>
    <row r="824" spans="2:9" ht="13.8">
      <c r="B824" s="49"/>
      <c r="C824" s="359" t="s">
        <v>81</v>
      </c>
      <c r="D824" s="360"/>
      <c r="E824" s="361"/>
      <c r="F824" s="105"/>
      <c r="G824" s="34"/>
      <c r="H824" s="29" t="s">
        <v>12</v>
      </c>
      <c r="I824" s="114">
        <f>SUM(I816:I823)</f>
        <v>0</v>
      </c>
    </row>
    <row r="825" spans="2:9" ht="26.4">
      <c r="B825" s="41" t="s">
        <v>41</v>
      </c>
      <c r="C825" s="352" t="s">
        <v>147</v>
      </c>
      <c r="D825" s="353"/>
      <c r="E825" s="354"/>
      <c r="F825" s="354"/>
      <c r="G825" s="354"/>
      <c r="H825" s="354"/>
      <c r="I825" s="355"/>
    </row>
    <row r="826" spans="2:9" ht="26.4">
      <c r="B826" s="127" t="s">
        <v>83</v>
      </c>
      <c r="C826" s="340" t="s">
        <v>182</v>
      </c>
      <c r="D826" s="341"/>
      <c r="E826" s="342"/>
      <c r="F826" s="342"/>
      <c r="G826" s="342"/>
      <c r="H826" s="342"/>
      <c r="I826" s="343"/>
    </row>
    <row r="827" spans="2:9" ht="24">
      <c r="B827" s="43" t="s">
        <v>0</v>
      </c>
      <c r="C827" s="44" t="s">
        <v>45</v>
      </c>
      <c r="D827" s="128" t="s">
        <v>82</v>
      </c>
      <c r="E827" s="115" t="s">
        <v>42</v>
      </c>
      <c r="F827" s="126" t="s">
        <v>43</v>
      </c>
      <c r="G827" s="45" t="s">
        <v>1</v>
      </c>
      <c r="H827" s="46" t="s">
        <v>29</v>
      </c>
      <c r="I827" s="47" t="s">
        <v>30</v>
      </c>
    </row>
    <row r="828" spans="2:9" ht="13.2">
      <c r="B828" s="49" t="s">
        <v>65</v>
      </c>
      <c r="C828" s="50" t="s">
        <v>36</v>
      </c>
      <c r="D828" s="51"/>
      <c r="E828" s="52" t="s">
        <v>13</v>
      </c>
      <c r="F828" s="53"/>
      <c r="G828" s="54"/>
      <c r="H828" s="55"/>
      <c r="I828" s="56"/>
    </row>
    <row r="829" spans="2:9" ht="13.2">
      <c r="B829" s="49"/>
      <c r="C829" s="57"/>
      <c r="D829" s="58"/>
      <c r="E829" s="2" t="s">
        <v>2</v>
      </c>
      <c r="F829" s="3"/>
      <c r="G829" s="14"/>
      <c r="H829" s="59"/>
      <c r="I829" s="11"/>
    </row>
    <row r="830" spans="2:9" ht="12">
      <c r="B830" s="49" t="s">
        <v>66</v>
      </c>
      <c r="C830" s="60" t="s">
        <v>37</v>
      </c>
      <c r="D830" s="61"/>
      <c r="E830" s="62" t="s">
        <v>64</v>
      </c>
      <c r="F830" s="63" t="s">
        <v>12</v>
      </c>
      <c r="G830" s="64" t="s">
        <v>12</v>
      </c>
      <c r="H830" s="109" t="s">
        <v>12</v>
      </c>
      <c r="I830" s="66" t="s">
        <v>12</v>
      </c>
    </row>
    <row r="831" spans="2:9" ht="13.2">
      <c r="B831" s="25" t="s">
        <v>67</v>
      </c>
      <c r="C831" s="67"/>
      <c r="D831" s="68"/>
      <c r="E831" s="69" t="s">
        <v>35</v>
      </c>
      <c r="F831" s="70" t="s">
        <v>15</v>
      </c>
      <c r="G831" s="152">
        <v>1233</v>
      </c>
      <c r="H831" s="145">
        <f>H816</f>
        <v>0</v>
      </c>
      <c r="I831" s="228">
        <f>ROUND($G831*H831,2)</f>
        <v>0</v>
      </c>
    </row>
    <row r="832" spans="2:9" ht="13.2">
      <c r="B832" s="25" t="s">
        <v>68</v>
      </c>
      <c r="C832" s="177"/>
      <c r="D832" s="178"/>
      <c r="E832" s="69" t="s">
        <v>183</v>
      </c>
      <c r="F832" s="70" t="s">
        <v>15</v>
      </c>
      <c r="G832" s="152">
        <v>256</v>
      </c>
      <c r="H832" s="145">
        <f>H190</f>
        <v>0</v>
      </c>
      <c r="I832" s="228">
        <f>ROUND($G832*H832,2)</f>
        <v>0</v>
      </c>
    </row>
    <row r="833" spans="2:9" ht="13.2">
      <c r="B833" s="78"/>
      <c r="C833" s="79"/>
      <c r="D833" s="80"/>
      <c r="E833" s="81" t="s">
        <v>16</v>
      </c>
      <c r="F833" s="82" t="s">
        <v>34</v>
      </c>
      <c r="G833" s="34"/>
      <c r="H833" s="186"/>
      <c r="I833" s="23" t="s">
        <v>12</v>
      </c>
    </row>
    <row r="834" spans="2:9" ht="13.2">
      <c r="B834" s="49" t="s">
        <v>71</v>
      </c>
      <c r="C834" s="50" t="s">
        <v>38</v>
      </c>
      <c r="D834" s="51"/>
      <c r="E834" s="52" t="s">
        <v>17</v>
      </c>
      <c r="F834" s="53"/>
      <c r="G834" s="133"/>
      <c r="H834" s="202"/>
      <c r="I834" s="56"/>
    </row>
    <row r="835" spans="2:9" ht="24">
      <c r="B835" s="49"/>
      <c r="C835" s="57"/>
      <c r="D835" s="58"/>
      <c r="E835" s="85" t="s">
        <v>63</v>
      </c>
      <c r="F835" s="3"/>
      <c r="G835" s="36"/>
      <c r="H835" s="35"/>
      <c r="I835" s="35"/>
    </row>
    <row r="836" spans="2:9" ht="12">
      <c r="B836" s="49" t="s">
        <v>72</v>
      </c>
      <c r="C836" s="87" t="s">
        <v>39</v>
      </c>
      <c r="D836" s="88"/>
      <c r="E836" s="89" t="s">
        <v>18</v>
      </c>
      <c r="F836" s="90" t="s">
        <v>12</v>
      </c>
      <c r="G836" s="91" t="s">
        <v>12</v>
      </c>
      <c r="H836" s="147"/>
      <c r="I836" s="66" t="s">
        <v>12</v>
      </c>
    </row>
    <row r="837" spans="2:9" ht="45.6">
      <c r="B837" s="25" t="s">
        <v>73</v>
      </c>
      <c r="C837" s="94"/>
      <c r="D837" s="95"/>
      <c r="E837" s="96" t="s">
        <v>19</v>
      </c>
      <c r="F837" s="90" t="s">
        <v>20</v>
      </c>
      <c r="G837" s="152">
        <v>1028</v>
      </c>
      <c r="H837" s="145">
        <f>H821</f>
        <v>0</v>
      </c>
      <c r="I837" s="228">
        <f>ROUND($G837*H837,2)</f>
        <v>0</v>
      </c>
    </row>
    <row r="838" spans="2:9" ht="12">
      <c r="B838" s="49" t="s">
        <v>74</v>
      </c>
      <c r="C838" s="87" t="s">
        <v>40</v>
      </c>
      <c r="D838" s="88"/>
      <c r="E838" s="97" t="s">
        <v>22</v>
      </c>
      <c r="F838" s="90" t="s">
        <v>12</v>
      </c>
      <c r="G838" s="91" t="s">
        <v>12</v>
      </c>
      <c r="H838" s="147"/>
      <c r="I838" s="66" t="s">
        <v>12</v>
      </c>
    </row>
    <row r="839" spans="2:9" ht="34.200000000000003">
      <c r="B839" s="25" t="s">
        <v>75</v>
      </c>
      <c r="C839" s="98"/>
      <c r="D839" s="99"/>
      <c r="E839" s="100" t="s">
        <v>32</v>
      </c>
      <c r="F839" s="90" t="s">
        <v>20</v>
      </c>
      <c r="G839" s="152">
        <v>617</v>
      </c>
      <c r="H839" s="145">
        <f>H823</f>
        <v>0</v>
      </c>
      <c r="I839" s="228">
        <f>ROUND($G839*H839,2)</f>
        <v>0</v>
      </c>
    </row>
    <row r="840" spans="2:9" ht="13.8">
      <c r="B840" s="49"/>
      <c r="C840" s="344" t="s">
        <v>81</v>
      </c>
      <c r="D840" s="344"/>
      <c r="E840" s="344"/>
      <c r="F840" s="105"/>
      <c r="G840" s="34"/>
      <c r="H840" s="29" t="s">
        <v>12</v>
      </c>
      <c r="I840" s="108">
        <f>SUM(I831:I839)</f>
        <v>0</v>
      </c>
    </row>
    <row r="841" spans="2:9" ht="26.4">
      <c r="B841" s="41" t="s">
        <v>41</v>
      </c>
      <c r="C841" s="352" t="s">
        <v>147</v>
      </c>
      <c r="D841" s="353"/>
      <c r="E841" s="354"/>
      <c r="F841" s="354"/>
      <c r="G841" s="354"/>
      <c r="H841" s="354"/>
      <c r="I841" s="355"/>
    </row>
    <row r="842" spans="2:9" ht="26.4">
      <c r="B842" s="127" t="s">
        <v>83</v>
      </c>
      <c r="C842" s="340" t="s">
        <v>233</v>
      </c>
      <c r="D842" s="341"/>
      <c r="E842" s="342"/>
      <c r="F842" s="342"/>
      <c r="G842" s="342"/>
      <c r="H842" s="342"/>
      <c r="I842" s="343"/>
    </row>
    <row r="843" spans="2:9" ht="24">
      <c r="B843" s="43" t="s">
        <v>0</v>
      </c>
      <c r="C843" s="44" t="s">
        <v>45</v>
      </c>
      <c r="D843" s="128" t="s">
        <v>82</v>
      </c>
      <c r="E843" s="115" t="s">
        <v>42</v>
      </c>
      <c r="F843" s="126" t="s">
        <v>43</v>
      </c>
      <c r="G843" s="45" t="s">
        <v>1</v>
      </c>
      <c r="H843" s="46" t="s">
        <v>29</v>
      </c>
      <c r="I843" s="47" t="s">
        <v>30</v>
      </c>
    </row>
    <row r="844" spans="2:9" ht="13.2">
      <c r="B844" s="49" t="s">
        <v>65</v>
      </c>
      <c r="C844" s="50" t="s">
        <v>36</v>
      </c>
      <c r="D844" s="51"/>
      <c r="E844" s="52" t="s">
        <v>13</v>
      </c>
      <c r="F844" s="53"/>
      <c r="G844" s="54"/>
      <c r="H844" s="55"/>
      <c r="I844" s="56"/>
    </row>
    <row r="845" spans="2:9" ht="13.2">
      <c r="B845" s="49"/>
      <c r="C845" s="57"/>
      <c r="D845" s="58"/>
      <c r="E845" s="2" t="s">
        <v>2</v>
      </c>
      <c r="F845" s="3"/>
      <c r="G845" s="14"/>
      <c r="H845" s="59"/>
      <c r="I845" s="11"/>
    </row>
    <row r="846" spans="2:9" ht="12">
      <c r="B846" s="49" t="s">
        <v>66</v>
      </c>
      <c r="C846" s="60" t="s">
        <v>37</v>
      </c>
      <c r="D846" s="61"/>
      <c r="E846" s="62" t="s">
        <v>234</v>
      </c>
      <c r="F846" s="63" t="s">
        <v>12</v>
      </c>
      <c r="G846" s="64" t="s">
        <v>12</v>
      </c>
      <c r="H846" s="109" t="s">
        <v>12</v>
      </c>
      <c r="I846" s="66" t="s">
        <v>12</v>
      </c>
    </row>
    <row r="847" spans="2:9" ht="13.2">
      <c r="B847" s="25" t="s">
        <v>67</v>
      </c>
      <c r="C847" s="67"/>
      <c r="D847" s="68"/>
      <c r="E847" s="69" t="s">
        <v>234</v>
      </c>
      <c r="F847" s="70" t="s">
        <v>15</v>
      </c>
      <c r="G847" s="152">
        <v>1000</v>
      </c>
      <c r="H847" s="145">
        <v>0</v>
      </c>
      <c r="I847" s="228">
        <f>ROUND($G847*H847,2)</f>
        <v>0</v>
      </c>
    </row>
    <row r="848" spans="2:9" ht="16.8" customHeight="1">
      <c r="B848" s="49"/>
      <c r="C848" s="344" t="s">
        <v>81</v>
      </c>
      <c r="D848" s="344"/>
      <c r="E848" s="344"/>
      <c r="F848" s="105"/>
      <c r="G848" s="34"/>
      <c r="H848" s="29" t="s">
        <v>12</v>
      </c>
      <c r="I848" s="108">
        <f>I847</f>
        <v>0</v>
      </c>
    </row>
    <row r="849" spans="2:9" ht="16.8" customHeight="1">
      <c r="B849" s="229"/>
      <c r="C849" s="230"/>
      <c r="D849" s="230"/>
      <c r="E849" s="104"/>
      <c r="F849" s="105"/>
      <c r="G849" s="34"/>
      <c r="H849" s="39"/>
      <c r="I849" s="108"/>
    </row>
    <row r="850" spans="2:9" ht="17.399999999999999">
      <c r="E850" s="362" t="s">
        <v>81</v>
      </c>
      <c r="F850" s="362"/>
      <c r="G850" s="362"/>
      <c r="I850" s="231">
        <f>I840+I824+I809+I794+I780+I765+I750+I735+I720+I705+I685+I665+I645+I628+I610+I598+I581+I559+I539+I524+I507+I492+I468+I445+I424+I409+I385+I362+I345+I324+I303+I283+I266+I245+I224+I203+I174+I153+I132+I110+I88+I65+I42+I21+I848</f>
        <v>0</v>
      </c>
    </row>
  </sheetData>
  <sheetProtection selectLockedCells="1" selectUnlockedCells="1"/>
  <mergeCells count="132">
    <mergeCell ref="C824:E824"/>
    <mergeCell ref="C825:I825"/>
    <mergeCell ref="C826:I826"/>
    <mergeCell ref="C840:E840"/>
    <mergeCell ref="E850:G850"/>
    <mergeCell ref="C795:I795"/>
    <mergeCell ref="C796:I796"/>
    <mergeCell ref="C809:E809"/>
    <mergeCell ref="C810:I810"/>
    <mergeCell ref="C811:I811"/>
    <mergeCell ref="C841:I841"/>
    <mergeCell ref="C842:I842"/>
    <mergeCell ref="C848:E848"/>
    <mergeCell ref="C766:I766"/>
    <mergeCell ref="C767:I767"/>
    <mergeCell ref="C780:E780"/>
    <mergeCell ref="C781:I781"/>
    <mergeCell ref="C794:E794"/>
    <mergeCell ref="C737:I737"/>
    <mergeCell ref="C750:E750"/>
    <mergeCell ref="C751:I751"/>
    <mergeCell ref="C752:I752"/>
    <mergeCell ref="C765:E765"/>
    <mergeCell ref="C720:E720"/>
    <mergeCell ref="C721:I721"/>
    <mergeCell ref="C722:I722"/>
    <mergeCell ref="C735:E735"/>
    <mergeCell ref="C736:I736"/>
    <mergeCell ref="C686:I686"/>
    <mergeCell ref="C687:I687"/>
    <mergeCell ref="C705:E705"/>
    <mergeCell ref="C706:I706"/>
    <mergeCell ref="C707:I707"/>
    <mergeCell ref="C647:I647"/>
    <mergeCell ref="C665:E665"/>
    <mergeCell ref="C666:I666"/>
    <mergeCell ref="C667:I667"/>
    <mergeCell ref="C685:E685"/>
    <mergeCell ref="C628:E628"/>
    <mergeCell ref="C629:I629"/>
    <mergeCell ref="C630:I630"/>
    <mergeCell ref="C645:E645"/>
    <mergeCell ref="C646:I646"/>
    <mergeCell ref="C598:E598"/>
    <mergeCell ref="C599:I599"/>
    <mergeCell ref="C610:E610"/>
    <mergeCell ref="C611:I611"/>
    <mergeCell ref="C612:I612"/>
    <mergeCell ref="C559:E559"/>
    <mergeCell ref="C560:I560"/>
    <mergeCell ref="C581:E581"/>
    <mergeCell ref="C582:I582"/>
    <mergeCell ref="C583:I583"/>
    <mergeCell ref="C525:I525"/>
    <mergeCell ref="C526:I526"/>
    <mergeCell ref="C539:E539"/>
    <mergeCell ref="C540:I540"/>
    <mergeCell ref="C541:I541"/>
    <mergeCell ref="C494:I494"/>
    <mergeCell ref="C507:E507"/>
    <mergeCell ref="C508:I508"/>
    <mergeCell ref="C509:I509"/>
    <mergeCell ref="C524:E524"/>
    <mergeCell ref="C468:E468"/>
    <mergeCell ref="C469:I469"/>
    <mergeCell ref="C470:I470"/>
    <mergeCell ref="C492:E492"/>
    <mergeCell ref="C493:I493"/>
    <mergeCell ref="C425:I425"/>
    <mergeCell ref="C426:I426"/>
    <mergeCell ref="C445:E445"/>
    <mergeCell ref="C446:I446"/>
    <mergeCell ref="C447:I447"/>
    <mergeCell ref="C387:I387"/>
    <mergeCell ref="C409:E409"/>
    <mergeCell ref="C410:I410"/>
    <mergeCell ref="C411:I411"/>
    <mergeCell ref="C424:E424"/>
    <mergeCell ref="C362:E362"/>
    <mergeCell ref="C363:I363"/>
    <mergeCell ref="C364:I364"/>
    <mergeCell ref="C385:E385"/>
    <mergeCell ref="C386:I386"/>
    <mergeCell ref="C325:I325"/>
    <mergeCell ref="C326:I326"/>
    <mergeCell ref="C345:E345"/>
    <mergeCell ref="C346:I346"/>
    <mergeCell ref="C347:I347"/>
    <mergeCell ref="C285:I285"/>
    <mergeCell ref="C303:E303"/>
    <mergeCell ref="C304:I304"/>
    <mergeCell ref="C305:I305"/>
    <mergeCell ref="C324:E324"/>
    <mergeCell ref="C266:E266"/>
    <mergeCell ref="C267:I267"/>
    <mergeCell ref="C268:I268"/>
    <mergeCell ref="C283:E283"/>
    <mergeCell ref="C284:I284"/>
    <mergeCell ref="C225:I225"/>
    <mergeCell ref="C226:I226"/>
    <mergeCell ref="C245:E245"/>
    <mergeCell ref="C246:I246"/>
    <mergeCell ref="C247:I247"/>
    <mergeCell ref="C176:I176"/>
    <mergeCell ref="C203:E203"/>
    <mergeCell ref="C204:I204"/>
    <mergeCell ref="C205:I205"/>
    <mergeCell ref="C224:E224"/>
    <mergeCell ref="C153:E153"/>
    <mergeCell ref="C154:I154"/>
    <mergeCell ref="C155:I155"/>
    <mergeCell ref="C174:E174"/>
    <mergeCell ref="C175:I175"/>
    <mergeCell ref="C110:E110"/>
    <mergeCell ref="C111:I111"/>
    <mergeCell ref="C112:I112"/>
    <mergeCell ref="C132:E132"/>
    <mergeCell ref="C133:I133"/>
    <mergeCell ref="C66:I66"/>
    <mergeCell ref="C67:I67"/>
    <mergeCell ref="C88:E88"/>
    <mergeCell ref="C89:I89"/>
    <mergeCell ref="C90:I90"/>
    <mergeCell ref="C23:I23"/>
    <mergeCell ref="C42:E42"/>
    <mergeCell ref="C43:I43"/>
    <mergeCell ref="C44:I44"/>
    <mergeCell ref="C65:E65"/>
    <mergeCell ref="C21:E21"/>
    <mergeCell ref="C1:I1"/>
    <mergeCell ref="C2:I2"/>
    <mergeCell ref="C22:I22"/>
  </mergeCells>
  <conditionalFormatting sqref="H7:H10 H302">
    <cfRule type="cellIs" dxfId="143" priority="176" stopIfTrue="1" operator="equal">
      <formula>0</formula>
    </cfRule>
  </conditionalFormatting>
  <conditionalFormatting sqref="H15">
    <cfRule type="cellIs" dxfId="142" priority="175" stopIfTrue="1" operator="equal">
      <formula>0</formula>
    </cfRule>
  </conditionalFormatting>
  <conditionalFormatting sqref="H17:H20">
    <cfRule type="cellIs" dxfId="141" priority="174" stopIfTrue="1" operator="equal">
      <formula>0</formula>
    </cfRule>
  </conditionalFormatting>
  <conditionalFormatting sqref="H28:H31">
    <cfRule type="cellIs" dxfId="140" priority="139" stopIfTrue="1" operator="equal">
      <formula>0</formula>
    </cfRule>
  </conditionalFormatting>
  <conditionalFormatting sqref="H36">
    <cfRule type="cellIs" dxfId="139" priority="138" stopIfTrue="1" operator="equal">
      <formula>0</formula>
    </cfRule>
  </conditionalFormatting>
  <conditionalFormatting sqref="H38:H41">
    <cfRule type="cellIs" dxfId="138" priority="137" stopIfTrue="1" operator="equal">
      <formula>0</formula>
    </cfRule>
  </conditionalFormatting>
  <conditionalFormatting sqref="H49:H53">
    <cfRule type="cellIs" dxfId="137" priority="136" stopIfTrue="1" operator="equal">
      <formula>0</formula>
    </cfRule>
  </conditionalFormatting>
  <conditionalFormatting sqref="H58">
    <cfRule type="cellIs" dxfId="136" priority="135" stopIfTrue="1" operator="equal">
      <formula>0</formula>
    </cfRule>
  </conditionalFormatting>
  <conditionalFormatting sqref="H60:H64">
    <cfRule type="cellIs" dxfId="135" priority="134" stopIfTrue="1" operator="equal">
      <formula>0</formula>
    </cfRule>
  </conditionalFormatting>
  <conditionalFormatting sqref="H72:H75 H86">
    <cfRule type="cellIs" dxfId="134" priority="132" stopIfTrue="1" operator="equal">
      <formula>0</formula>
    </cfRule>
  </conditionalFormatting>
  <conditionalFormatting sqref="H80">
    <cfRule type="cellIs" dxfId="133" priority="131" stopIfTrue="1" operator="equal">
      <formula>0</formula>
    </cfRule>
  </conditionalFormatting>
  <conditionalFormatting sqref="H82:H84">
    <cfRule type="cellIs" dxfId="132" priority="130" stopIfTrue="1" operator="equal">
      <formula>0</formula>
    </cfRule>
  </conditionalFormatting>
  <conditionalFormatting sqref="H95:H99">
    <cfRule type="cellIs" dxfId="131" priority="129" stopIfTrue="1" operator="equal">
      <formula>0</formula>
    </cfRule>
  </conditionalFormatting>
  <conditionalFormatting sqref="H104">
    <cfRule type="cellIs" dxfId="130" priority="128" stopIfTrue="1" operator="equal">
      <formula>0</formula>
    </cfRule>
  </conditionalFormatting>
  <conditionalFormatting sqref="H106:H109">
    <cfRule type="cellIs" dxfId="129" priority="127" stopIfTrue="1" operator="equal">
      <formula>0</formula>
    </cfRule>
  </conditionalFormatting>
  <conditionalFormatting sqref="H117:H121">
    <cfRule type="cellIs" dxfId="128" priority="126" stopIfTrue="1" operator="equal">
      <formula>0</formula>
    </cfRule>
  </conditionalFormatting>
  <conditionalFormatting sqref="H126">
    <cfRule type="cellIs" dxfId="127" priority="125" stopIfTrue="1" operator="equal">
      <formula>0</formula>
    </cfRule>
  </conditionalFormatting>
  <conditionalFormatting sqref="H128:H131">
    <cfRule type="cellIs" dxfId="126" priority="124" stopIfTrue="1" operator="equal">
      <formula>0</formula>
    </cfRule>
  </conditionalFormatting>
  <conditionalFormatting sqref="H139:H142">
    <cfRule type="cellIs" dxfId="125" priority="123" stopIfTrue="1" operator="equal">
      <formula>0</formula>
    </cfRule>
  </conditionalFormatting>
  <conditionalFormatting sqref="H147">
    <cfRule type="cellIs" dxfId="124" priority="122" stopIfTrue="1" operator="equal">
      <formula>0</formula>
    </cfRule>
  </conditionalFormatting>
  <conditionalFormatting sqref="H149:H152">
    <cfRule type="cellIs" dxfId="123" priority="121" stopIfTrue="1" operator="equal">
      <formula>0</formula>
    </cfRule>
  </conditionalFormatting>
  <conditionalFormatting sqref="H160:H163">
    <cfRule type="cellIs" dxfId="122" priority="120" stopIfTrue="1" operator="equal">
      <formula>0</formula>
    </cfRule>
  </conditionalFormatting>
  <conditionalFormatting sqref="H168">
    <cfRule type="cellIs" dxfId="121" priority="119" stopIfTrue="1" operator="equal">
      <formula>0</formula>
    </cfRule>
  </conditionalFormatting>
  <conditionalFormatting sqref="H170:H173">
    <cfRule type="cellIs" dxfId="120" priority="118" stopIfTrue="1" operator="equal">
      <formula>0</formula>
    </cfRule>
  </conditionalFormatting>
  <conditionalFormatting sqref="H181:H187">
    <cfRule type="cellIs" dxfId="119" priority="117" stopIfTrue="1" operator="equal">
      <formula>0</formula>
    </cfRule>
  </conditionalFormatting>
  <conditionalFormatting sqref="H189:H191">
    <cfRule type="cellIs" dxfId="118" priority="116" stopIfTrue="1" operator="equal">
      <formula>0</formula>
    </cfRule>
  </conditionalFormatting>
  <conditionalFormatting sqref="H196">
    <cfRule type="cellIs" dxfId="117" priority="115" stopIfTrue="1" operator="equal">
      <formula>0</formula>
    </cfRule>
  </conditionalFormatting>
  <conditionalFormatting sqref="H198:H202">
    <cfRule type="cellIs" dxfId="116" priority="114" stopIfTrue="1" operator="equal">
      <formula>0</formula>
    </cfRule>
  </conditionalFormatting>
  <conditionalFormatting sqref="H210:H213">
    <cfRule type="cellIs" dxfId="115" priority="113" stopIfTrue="1" operator="equal">
      <formula>0</formula>
    </cfRule>
  </conditionalFormatting>
  <conditionalFormatting sqref="H218">
    <cfRule type="cellIs" dxfId="114" priority="112" stopIfTrue="1" operator="equal">
      <formula>0</formula>
    </cfRule>
  </conditionalFormatting>
  <conditionalFormatting sqref="H220:H223">
    <cfRule type="cellIs" dxfId="113" priority="111" stopIfTrue="1" operator="equal">
      <formula>0</formula>
    </cfRule>
  </conditionalFormatting>
  <conditionalFormatting sqref="H231:H234">
    <cfRule type="cellIs" dxfId="112" priority="110" stopIfTrue="1" operator="equal">
      <formula>0</formula>
    </cfRule>
  </conditionalFormatting>
  <conditionalFormatting sqref="H239">
    <cfRule type="cellIs" dxfId="111" priority="109" stopIfTrue="1" operator="equal">
      <formula>0</formula>
    </cfRule>
  </conditionalFormatting>
  <conditionalFormatting sqref="H241:H244">
    <cfRule type="cellIs" dxfId="110" priority="108" stopIfTrue="1" operator="equal">
      <formula>0</formula>
    </cfRule>
  </conditionalFormatting>
  <conditionalFormatting sqref="H273">
    <cfRule type="cellIs" dxfId="109" priority="107" stopIfTrue="1" operator="equal">
      <formula>0</formula>
    </cfRule>
  </conditionalFormatting>
  <conditionalFormatting sqref="H278">
    <cfRule type="cellIs" dxfId="108" priority="106" stopIfTrue="1" operator="equal">
      <formula>0</formula>
    </cfRule>
  </conditionalFormatting>
  <conditionalFormatting sqref="H280:H281">
    <cfRule type="cellIs" dxfId="107" priority="105" stopIfTrue="1" operator="equal">
      <formula>0</formula>
    </cfRule>
  </conditionalFormatting>
  <conditionalFormatting sqref="H290">
    <cfRule type="cellIs" dxfId="106" priority="104" stopIfTrue="1" operator="equal">
      <formula>0</formula>
    </cfRule>
  </conditionalFormatting>
  <conditionalFormatting sqref="H295">
    <cfRule type="cellIs" dxfId="105" priority="103" stopIfTrue="1" operator="equal">
      <formula>0</formula>
    </cfRule>
  </conditionalFormatting>
  <conditionalFormatting sqref="H297:H298">
    <cfRule type="cellIs" dxfId="104" priority="102" stopIfTrue="1" operator="equal">
      <formula>0</formula>
    </cfRule>
  </conditionalFormatting>
  <conditionalFormatting sqref="H300">
    <cfRule type="cellIs" dxfId="103" priority="101" stopIfTrue="1" operator="equal">
      <formula>0</formula>
    </cfRule>
  </conditionalFormatting>
  <conditionalFormatting sqref="H310:H313">
    <cfRule type="cellIs" dxfId="102" priority="99" stopIfTrue="1" operator="equal">
      <formula>0</formula>
    </cfRule>
  </conditionalFormatting>
  <conditionalFormatting sqref="H318">
    <cfRule type="cellIs" dxfId="101" priority="98" stopIfTrue="1" operator="equal">
      <formula>0</formula>
    </cfRule>
  </conditionalFormatting>
  <conditionalFormatting sqref="H320:H323">
    <cfRule type="cellIs" dxfId="100" priority="97" stopIfTrue="1" operator="equal">
      <formula>0</formula>
    </cfRule>
  </conditionalFormatting>
  <conditionalFormatting sqref="H331:H334">
    <cfRule type="cellIs" dxfId="99" priority="96" stopIfTrue="1" operator="equal">
      <formula>0</formula>
    </cfRule>
  </conditionalFormatting>
  <conditionalFormatting sqref="H339">
    <cfRule type="cellIs" dxfId="98" priority="95" stopIfTrue="1" operator="equal">
      <formula>0</formula>
    </cfRule>
  </conditionalFormatting>
  <conditionalFormatting sqref="H341:H344">
    <cfRule type="cellIs" dxfId="97" priority="94" stopIfTrue="1" operator="equal">
      <formula>0</formula>
    </cfRule>
  </conditionalFormatting>
  <conditionalFormatting sqref="H352:H353">
    <cfRule type="cellIs" dxfId="96" priority="93" stopIfTrue="1" operator="equal">
      <formula>0</formula>
    </cfRule>
  </conditionalFormatting>
  <conditionalFormatting sqref="H358">
    <cfRule type="cellIs" dxfId="95" priority="92" stopIfTrue="1" operator="equal">
      <formula>0</formula>
    </cfRule>
  </conditionalFormatting>
  <conditionalFormatting sqref="H360:H361">
    <cfRule type="cellIs" dxfId="94" priority="91" stopIfTrue="1" operator="equal">
      <formula>0</formula>
    </cfRule>
  </conditionalFormatting>
  <conditionalFormatting sqref="H369:H373">
    <cfRule type="cellIs" dxfId="93" priority="90" stopIfTrue="1" operator="equal">
      <formula>0</formula>
    </cfRule>
  </conditionalFormatting>
  <conditionalFormatting sqref="H378">
    <cfRule type="cellIs" dxfId="92" priority="89" stopIfTrue="1" operator="equal">
      <formula>0</formula>
    </cfRule>
  </conditionalFormatting>
  <conditionalFormatting sqref="H380:H384">
    <cfRule type="cellIs" dxfId="91" priority="88" stopIfTrue="1" operator="equal">
      <formula>0</formula>
    </cfRule>
  </conditionalFormatting>
  <conditionalFormatting sqref="H392:H398">
    <cfRule type="cellIs" dxfId="90" priority="87" stopIfTrue="1" operator="equal">
      <formula>0</formula>
    </cfRule>
  </conditionalFormatting>
  <conditionalFormatting sqref="H403">
    <cfRule type="cellIs" dxfId="89" priority="86" stopIfTrue="1" operator="equal">
      <formula>0</formula>
    </cfRule>
  </conditionalFormatting>
  <conditionalFormatting sqref="H405:H408">
    <cfRule type="cellIs" dxfId="88" priority="85" stopIfTrue="1" operator="equal">
      <formula>0</formula>
    </cfRule>
  </conditionalFormatting>
  <conditionalFormatting sqref="H416">
    <cfRule type="cellIs" dxfId="87" priority="84" stopIfTrue="1" operator="equal">
      <formula>0</formula>
    </cfRule>
  </conditionalFormatting>
  <conditionalFormatting sqref="H421">
    <cfRule type="cellIs" dxfId="86" priority="83" stopIfTrue="1" operator="equal">
      <formula>0</formula>
    </cfRule>
  </conditionalFormatting>
  <conditionalFormatting sqref="H423">
    <cfRule type="cellIs" dxfId="85" priority="82" stopIfTrue="1" operator="equal">
      <formula>0</formula>
    </cfRule>
  </conditionalFormatting>
  <conditionalFormatting sqref="H431:H433">
    <cfRule type="cellIs" dxfId="84" priority="81" stopIfTrue="1" operator="equal">
      <formula>0</formula>
    </cfRule>
  </conditionalFormatting>
  <conditionalFormatting sqref="H438">
    <cfRule type="cellIs" dxfId="83" priority="80" stopIfTrue="1" operator="equal">
      <formula>0</formula>
    </cfRule>
  </conditionalFormatting>
  <conditionalFormatting sqref="H440:H444">
    <cfRule type="cellIs" dxfId="82" priority="79" stopIfTrue="1" operator="equal">
      <formula>0</formula>
    </cfRule>
  </conditionalFormatting>
  <conditionalFormatting sqref="H452:H456">
    <cfRule type="cellIs" dxfId="81" priority="78" stopIfTrue="1" operator="equal">
      <formula>0</formula>
    </cfRule>
  </conditionalFormatting>
  <conditionalFormatting sqref="H461">
    <cfRule type="cellIs" dxfId="80" priority="77" stopIfTrue="1" operator="equal">
      <formula>0</formula>
    </cfRule>
  </conditionalFormatting>
  <conditionalFormatting sqref="H463:H467">
    <cfRule type="cellIs" dxfId="79" priority="76" stopIfTrue="1" operator="equal">
      <formula>0</formula>
    </cfRule>
  </conditionalFormatting>
  <conditionalFormatting sqref="H476:H479">
    <cfRule type="cellIs" dxfId="78" priority="75" stopIfTrue="1" operator="equal">
      <formula>0</formula>
    </cfRule>
  </conditionalFormatting>
  <conditionalFormatting sqref="H484">
    <cfRule type="cellIs" dxfId="77" priority="74" stopIfTrue="1" operator="equal">
      <formula>0</formula>
    </cfRule>
  </conditionalFormatting>
  <conditionalFormatting sqref="H486:H488">
    <cfRule type="cellIs" dxfId="76" priority="73" stopIfTrue="1" operator="equal">
      <formula>0</formula>
    </cfRule>
  </conditionalFormatting>
  <conditionalFormatting sqref="H490">
    <cfRule type="cellIs" dxfId="75" priority="72" stopIfTrue="1" operator="equal">
      <formula>0</formula>
    </cfRule>
  </conditionalFormatting>
  <conditionalFormatting sqref="H499">
    <cfRule type="cellIs" dxfId="74" priority="71" stopIfTrue="1" operator="equal">
      <formula>0</formula>
    </cfRule>
  </conditionalFormatting>
  <conditionalFormatting sqref="H504">
    <cfRule type="cellIs" dxfId="73" priority="70" stopIfTrue="1" operator="equal">
      <formula>0</formula>
    </cfRule>
  </conditionalFormatting>
  <conditionalFormatting sqref="H506">
    <cfRule type="cellIs" dxfId="72" priority="69" stopIfTrue="1" operator="equal">
      <formula>0</formula>
    </cfRule>
  </conditionalFormatting>
  <conditionalFormatting sqref="H514">
    <cfRule type="cellIs" dxfId="71" priority="68" stopIfTrue="1" operator="equal">
      <formula>0</formula>
    </cfRule>
  </conditionalFormatting>
  <conditionalFormatting sqref="H518">
    <cfRule type="cellIs" dxfId="70" priority="67" stopIfTrue="1" operator="equal">
      <formula>0</formula>
    </cfRule>
  </conditionalFormatting>
  <conditionalFormatting sqref="H520:H523">
    <cfRule type="cellIs" dxfId="69" priority="66" stopIfTrue="1" operator="equal">
      <formula>0</formula>
    </cfRule>
  </conditionalFormatting>
  <conditionalFormatting sqref="H531">
    <cfRule type="cellIs" dxfId="68" priority="65" stopIfTrue="1" operator="equal">
      <formula>0</formula>
    </cfRule>
  </conditionalFormatting>
  <conditionalFormatting sqref="H536">
    <cfRule type="cellIs" dxfId="67" priority="64" stopIfTrue="1" operator="equal">
      <formula>0</formula>
    </cfRule>
  </conditionalFormatting>
  <conditionalFormatting sqref="H538">
    <cfRule type="cellIs" dxfId="66" priority="63" stopIfTrue="1" operator="equal">
      <formula>0</formula>
    </cfRule>
  </conditionalFormatting>
  <conditionalFormatting sqref="H546:H547">
    <cfRule type="cellIs" dxfId="65" priority="62" stopIfTrue="1" operator="equal">
      <formula>0</formula>
    </cfRule>
  </conditionalFormatting>
  <conditionalFormatting sqref="H552">
    <cfRule type="cellIs" dxfId="64" priority="61" stopIfTrue="1" operator="equal">
      <formula>0</formula>
    </cfRule>
  </conditionalFormatting>
  <conditionalFormatting sqref="H554:H558">
    <cfRule type="cellIs" dxfId="63" priority="60" stopIfTrue="1" operator="equal">
      <formula>0</formula>
    </cfRule>
  </conditionalFormatting>
  <conditionalFormatting sqref="H565:H568 H580">
    <cfRule type="cellIs" dxfId="62" priority="59" stopIfTrue="1" operator="equal">
      <formula>0</formula>
    </cfRule>
  </conditionalFormatting>
  <conditionalFormatting sqref="H573">
    <cfRule type="cellIs" dxfId="61" priority="58" stopIfTrue="1" operator="equal">
      <formula>0</formula>
    </cfRule>
  </conditionalFormatting>
  <conditionalFormatting sqref="H575:H578">
    <cfRule type="cellIs" dxfId="60" priority="57" stopIfTrue="1" operator="equal">
      <formula>0</formula>
    </cfRule>
  </conditionalFormatting>
  <conditionalFormatting sqref="H588:H590">
    <cfRule type="cellIs" dxfId="59" priority="56" stopIfTrue="1" operator="equal">
      <formula>0</formula>
    </cfRule>
  </conditionalFormatting>
  <conditionalFormatting sqref="H595">
    <cfRule type="cellIs" dxfId="58" priority="54" stopIfTrue="1" operator="equal">
      <formula>0</formula>
    </cfRule>
  </conditionalFormatting>
  <conditionalFormatting sqref="H597">
    <cfRule type="cellIs" dxfId="57" priority="53" stopIfTrue="1" operator="equal">
      <formula>0</formula>
    </cfRule>
  </conditionalFormatting>
  <conditionalFormatting sqref="H604">
    <cfRule type="cellIs" dxfId="56" priority="52" stopIfTrue="1" operator="equal">
      <formula>0</formula>
    </cfRule>
  </conditionalFormatting>
  <conditionalFormatting sqref="H609">
    <cfRule type="cellIs" dxfId="55" priority="50" stopIfTrue="1" operator="equal">
      <formula>0</formula>
    </cfRule>
  </conditionalFormatting>
  <conditionalFormatting sqref="H617:H618">
    <cfRule type="cellIs" dxfId="54" priority="49" stopIfTrue="1" operator="equal">
      <formula>0</formula>
    </cfRule>
  </conditionalFormatting>
  <conditionalFormatting sqref="H623">
    <cfRule type="cellIs" dxfId="53" priority="47" stopIfTrue="1" operator="equal">
      <formula>0</formula>
    </cfRule>
  </conditionalFormatting>
  <conditionalFormatting sqref="H625:H626">
    <cfRule type="cellIs" dxfId="52" priority="46" stopIfTrue="1" operator="equal">
      <formula>0</formula>
    </cfRule>
  </conditionalFormatting>
  <conditionalFormatting sqref="H635:H636">
    <cfRule type="cellIs" dxfId="51" priority="45" stopIfTrue="1" operator="equal">
      <formula>0</formula>
    </cfRule>
  </conditionalFormatting>
  <conditionalFormatting sqref="H641">
    <cfRule type="cellIs" dxfId="50" priority="43" stopIfTrue="1" operator="equal">
      <formula>0</formula>
    </cfRule>
  </conditionalFormatting>
  <conditionalFormatting sqref="H643:H644">
    <cfRule type="cellIs" dxfId="49" priority="42" stopIfTrue="1" operator="equal">
      <formula>0</formula>
    </cfRule>
  </conditionalFormatting>
  <conditionalFormatting sqref="H652:H656">
    <cfRule type="cellIs" dxfId="48" priority="41" stopIfTrue="1" operator="equal">
      <formula>0</formula>
    </cfRule>
  </conditionalFormatting>
  <conditionalFormatting sqref="H661">
    <cfRule type="cellIs" dxfId="47" priority="39" stopIfTrue="1" operator="equal">
      <formula>0</formula>
    </cfRule>
  </conditionalFormatting>
  <conditionalFormatting sqref="H663">
    <cfRule type="cellIs" dxfId="46" priority="38" stopIfTrue="1" operator="equal">
      <formula>0</formula>
    </cfRule>
  </conditionalFormatting>
  <conditionalFormatting sqref="H672:H676">
    <cfRule type="cellIs" dxfId="45" priority="37" stopIfTrue="1" operator="equal">
      <formula>0</formula>
    </cfRule>
  </conditionalFormatting>
  <conditionalFormatting sqref="H681">
    <cfRule type="cellIs" dxfId="44" priority="35" stopIfTrue="1" operator="equal">
      <formula>0</formula>
    </cfRule>
  </conditionalFormatting>
  <conditionalFormatting sqref="H683">
    <cfRule type="cellIs" dxfId="43" priority="34" stopIfTrue="1" operator="equal">
      <formula>0</formula>
    </cfRule>
  </conditionalFormatting>
  <conditionalFormatting sqref="H692:H696">
    <cfRule type="cellIs" dxfId="42" priority="33" stopIfTrue="1" operator="equal">
      <formula>0</formula>
    </cfRule>
  </conditionalFormatting>
  <conditionalFormatting sqref="H701">
    <cfRule type="cellIs" dxfId="41" priority="31" stopIfTrue="1" operator="equal">
      <formula>0</formula>
    </cfRule>
  </conditionalFormatting>
  <conditionalFormatting sqref="H703">
    <cfRule type="cellIs" dxfId="40" priority="30" stopIfTrue="1" operator="equal">
      <formula>0</formula>
    </cfRule>
  </conditionalFormatting>
  <conditionalFormatting sqref="H712">
    <cfRule type="cellIs" dxfId="39" priority="29" stopIfTrue="1" operator="equal">
      <formula>0</formula>
    </cfRule>
  </conditionalFormatting>
  <conditionalFormatting sqref="H717">
    <cfRule type="cellIs" dxfId="38" priority="28" stopIfTrue="1" operator="equal">
      <formula>0</formula>
    </cfRule>
  </conditionalFormatting>
  <conditionalFormatting sqref="H719">
    <cfRule type="cellIs" dxfId="37" priority="27" stopIfTrue="1" operator="equal">
      <formula>0</formula>
    </cfRule>
  </conditionalFormatting>
  <conditionalFormatting sqref="H727">
    <cfRule type="cellIs" dxfId="36" priority="26" stopIfTrue="1" operator="equal">
      <formula>0</formula>
    </cfRule>
  </conditionalFormatting>
  <conditionalFormatting sqref="H732">
    <cfRule type="cellIs" dxfId="35" priority="25" stopIfTrue="1" operator="equal">
      <formula>0</formula>
    </cfRule>
  </conditionalFormatting>
  <conditionalFormatting sqref="H734">
    <cfRule type="cellIs" dxfId="34" priority="24" stopIfTrue="1" operator="equal">
      <formula>0</formula>
    </cfRule>
  </conditionalFormatting>
  <conditionalFormatting sqref="H742">
    <cfRule type="cellIs" dxfId="33" priority="23" stopIfTrue="1" operator="equal">
      <formula>0</formula>
    </cfRule>
  </conditionalFormatting>
  <conditionalFormatting sqref="H747">
    <cfRule type="cellIs" dxfId="32" priority="22" stopIfTrue="1" operator="equal">
      <formula>0</formula>
    </cfRule>
  </conditionalFormatting>
  <conditionalFormatting sqref="H749">
    <cfRule type="cellIs" dxfId="31" priority="21" stopIfTrue="1" operator="equal">
      <formula>0</formula>
    </cfRule>
  </conditionalFormatting>
  <conditionalFormatting sqref="H757">
    <cfRule type="cellIs" dxfId="30" priority="20" stopIfTrue="1" operator="equal">
      <formula>0</formula>
    </cfRule>
  </conditionalFormatting>
  <conditionalFormatting sqref="H762">
    <cfRule type="cellIs" dxfId="29" priority="19" stopIfTrue="1" operator="equal">
      <formula>0</formula>
    </cfRule>
  </conditionalFormatting>
  <conditionalFormatting sqref="H764">
    <cfRule type="cellIs" dxfId="28" priority="18" stopIfTrue="1" operator="equal">
      <formula>0</formula>
    </cfRule>
  </conditionalFormatting>
  <conditionalFormatting sqref="H772">
    <cfRule type="cellIs" dxfId="27" priority="17" stopIfTrue="1" operator="equal">
      <formula>0</formula>
    </cfRule>
  </conditionalFormatting>
  <conditionalFormatting sqref="H777">
    <cfRule type="cellIs" dxfId="26" priority="16" stopIfTrue="1" operator="equal">
      <formula>0</formula>
    </cfRule>
  </conditionalFormatting>
  <conditionalFormatting sqref="H779">
    <cfRule type="cellIs" dxfId="25" priority="15" stopIfTrue="1" operator="equal">
      <formula>0</formula>
    </cfRule>
  </conditionalFormatting>
  <conditionalFormatting sqref="H786">
    <cfRule type="cellIs" dxfId="24" priority="14" stopIfTrue="1" operator="equal">
      <formula>0</formula>
    </cfRule>
  </conditionalFormatting>
  <conditionalFormatting sqref="H791">
    <cfRule type="cellIs" dxfId="23" priority="13" stopIfTrue="1" operator="equal">
      <formula>0</formula>
    </cfRule>
  </conditionalFormatting>
  <conditionalFormatting sqref="H793">
    <cfRule type="cellIs" dxfId="22" priority="12" stopIfTrue="1" operator="equal">
      <formula>0</formula>
    </cfRule>
  </conditionalFormatting>
  <conditionalFormatting sqref="H801">
    <cfRule type="cellIs" dxfId="21" priority="11" stopIfTrue="1" operator="equal">
      <formula>0</formula>
    </cfRule>
  </conditionalFormatting>
  <conditionalFormatting sqref="H806">
    <cfRule type="cellIs" dxfId="20" priority="10" stopIfTrue="1" operator="equal">
      <formula>0</formula>
    </cfRule>
  </conditionalFormatting>
  <conditionalFormatting sqref="H808">
    <cfRule type="cellIs" dxfId="19" priority="9" stopIfTrue="1" operator="equal">
      <formula>0</formula>
    </cfRule>
  </conditionalFormatting>
  <conditionalFormatting sqref="H816">
    <cfRule type="cellIs" dxfId="18" priority="8" stopIfTrue="1" operator="equal">
      <formula>0</formula>
    </cfRule>
  </conditionalFormatting>
  <conditionalFormatting sqref="H821">
    <cfRule type="cellIs" dxfId="17" priority="6" stopIfTrue="1" operator="equal">
      <formula>0</formula>
    </cfRule>
  </conditionalFormatting>
  <conditionalFormatting sqref="H823">
    <cfRule type="cellIs" dxfId="16" priority="5" stopIfTrue="1" operator="equal">
      <formula>0</formula>
    </cfRule>
  </conditionalFormatting>
  <conditionalFormatting sqref="H831:H832">
    <cfRule type="cellIs" dxfId="15" priority="4" stopIfTrue="1" operator="equal">
      <formula>0</formula>
    </cfRule>
  </conditionalFormatting>
  <conditionalFormatting sqref="H837">
    <cfRule type="cellIs" dxfId="14" priority="3" stopIfTrue="1" operator="equal">
      <formula>0</formula>
    </cfRule>
  </conditionalFormatting>
  <conditionalFormatting sqref="H839">
    <cfRule type="cellIs" dxfId="13" priority="2" stopIfTrue="1" operator="equal">
      <formula>0</formula>
    </cfRule>
  </conditionalFormatting>
  <conditionalFormatting sqref="H847">
    <cfRule type="cellIs" dxfId="12" priority="1" stopIfTrue="1" operator="equal">
      <formula>0</formula>
    </cfRule>
  </conditionalFormatting>
  <conditionalFormatting sqref="I44">
    <cfRule type="cellIs" dxfId="11" priority="133" stopIfTrue="1" operator="equal">
      <formula>0</formula>
    </cfRule>
  </conditionalFormatting>
  <pageMargins left="0.59055118110236227" right="0.23622047244094491" top="0.35433070866141736" bottom="0.74803149606299213" header="0.51181102362204722" footer="0.51181102362204722"/>
  <pageSetup paperSize="9" scale="75" firstPageNumber="0" fitToHeight="3" orientation="portrait" r:id="rId1"/>
  <headerFooter alignWithMargins="0">
    <oddFooter>&amp;R&amp;P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E655F-C812-49A2-ABBF-680FE196A96C}">
  <sheetPr>
    <tabColor theme="5" tint="0.59999389629810485"/>
  </sheetPr>
  <dimension ref="A1:I73"/>
  <sheetViews>
    <sheetView view="pageBreakPreview" topLeftCell="B1" zoomScale="110" zoomScaleNormal="100" zoomScaleSheetLayoutView="110" workbookViewId="0">
      <selection activeCell="H66" sqref="H66"/>
    </sheetView>
  </sheetViews>
  <sheetFormatPr defaultColWidth="9.109375" defaultRowHeight="11.4" outlineLevelCol="1"/>
  <cols>
    <col min="1" max="1" width="8" style="5" hidden="1" customWidth="1" outlineLevel="1"/>
    <col min="2" max="2" width="10.6640625" style="5" customWidth="1" collapsed="1"/>
    <col min="3" max="3" width="10.88671875" style="7" bestFit="1" customWidth="1"/>
    <col min="4" max="4" width="8.6640625" style="7" customWidth="1"/>
    <col min="5" max="5" width="46.44140625" style="9" customWidth="1"/>
    <col min="6" max="6" width="5.6640625" style="6" customWidth="1"/>
    <col min="7" max="7" width="10.33203125" style="6" customWidth="1"/>
    <col min="8" max="8" width="11.21875" style="6" customWidth="1"/>
    <col min="9" max="9" width="17.21875" style="4" customWidth="1"/>
    <col min="10" max="16384" width="9.109375" style="9"/>
  </cols>
  <sheetData>
    <row r="1" spans="1:9" customFormat="1" ht="52.5" customHeight="1">
      <c r="A1" s="22"/>
      <c r="B1" s="41" t="s">
        <v>41</v>
      </c>
      <c r="C1" s="356" t="s">
        <v>184</v>
      </c>
      <c r="D1" s="357"/>
      <c r="E1" s="357"/>
      <c r="F1" s="357"/>
      <c r="G1" s="357"/>
      <c r="H1" s="357"/>
      <c r="I1" s="358"/>
    </row>
    <row r="2" spans="1:9" ht="36" customHeight="1">
      <c r="A2" s="13"/>
      <c r="B2" s="42" t="s">
        <v>83</v>
      </c>
      <c r="C2" s="340" t="s">
        <v>185</v>
      </c>
      <c r="D2" s="341"/>
      <c r="E2" s="342"/>
      <c r="F2" s="342"/>
      <c r="G2" s="342"/>
      <c r="H2" s="342"/>
      <c r="I2" s="343"/>
    </row>
    <row r="3" spans="1:9" ht="24">
      <c r="A3" s="1" t="s">
        <v>0</v>
      </c>
      <c r="B3" s="43" t="s">
        <v>0</v>
      </c>
      <c r="C3" s="44" t="s">
        <v>45</v>
      </c>
      <c r="D3" s="44" t="s">
        <v>82</v>
      </c>
      <c r="E3" s="115" t="s">
        <v>42</v>
      </c>
      <c r="F3" s="126" t="s">
        <v>43</v>
      </c>
      <c r="G3" s="45" t="s">
        <v>1</v>
      </c>
      <c r="H3" s="46" t="s">
        <v>29</v>
      </c>
      <c r="I3" s="47" t="s">
        <v>30</v>
      </c>
    </row>
    <row r="4" spans="1:9" ht="13.2">
      <c r="A4" s="8" t="s">
        <v>6</v>
      </c>
      <c r="B4" s="49" t="s">
        <v>65</v>
      </c>
      <c r="C4" s="50" t="s">
        <v>36</v>
      </c>
      <c r="D4" s="51"/>
      <c r="E4" s="52" t="s">
        <v>13</v>
      </c>
      <c r="F4" s="53"/>
      <c r="G4" s="54"/>
      <c r="H4" s="55"/>
      <c r="I4" s="56"/>
    </row>
    <row r="5" spans="1:9" ht="13.2">
      <c r="A5" s="8"/>
      <c r="B5" s="49"/>
      <c r="C5" s="57"/>
      <c r="D5" s="58"/>
      <c r="E5" s="2" t="s">
        <v>2</v>
      </c>
      <c r="F5" s="3"/>
      <c r="G5" s="31"/>
      <c r="H5" s="59"/>
      <c r="I5" s="11"/>
    </row>
    <row r="6" spans="1:9" ht="12">
      <c r="A6" s="8" t="s">
        <v>3</v>
      </c>
      <c r="B6" s="49" t="s">
        <v>66</v>
      </c>
      <c r="C6" s="60" t="s">
        <v>37</v>
      </c>
      <c r="D6" s="61"/>
      <c r="E6" s="62" t="s">
        <v>64</v>
      </c>
      <c r="F6" s="63" t="s">
        <v>12</v>
      </c>
      <c r="G6" s="64" t="s">
        <v>12</v>
      </c>
      <c r="H6" s="65" t="s">
        <v>12</v>
      </c>
      <c r="I6" s="66" t="s">
        <v>12</v>
      </c>
    </row>
    <row r="7" spans="1:9" ht="20.100000000000001" customHeight="1">
      <c r="A7" s="12" t="s">
        <v>8</v>
      </c>
      <c r="B7" s="25" t="s">
        <v>67</v>
      </c>
      <c r="C7" s="67"/>
      <c r="D7" s="68"/>
      <c r="E7" s="69" t="s">
        <v>35</v>
      </c>
      <c r="F7" s="70" t="s">
        <v>15</v>
      </c>
      <c r="G7" s="71">
        <v>361.2</v>
      </c>
      <c r="H7" s="145">
        <v>0</v>
      </c>
      <c r="I7" s="232">
        <f>ROUND($G7*H7,2)</f>
        <v>0</v>
      </c>
    </row>
    <row r="8" spans="1:9" ht="20.100000000000001" customHeight="1">
      <c r="A8" s="12" t="s">
        <v>9</v>
      </c>
      <c r="B8" s="25" t="s">
        <v>68</v>
      </c>
      <c r="C8" s="74"/>
      <c r="D8" s="75"/>
      <c r="E8" s="69" t="s">
        <v>60</v>
      </c>
      <c r="F8" s="70" t="s">
        <v>14</v>
      </c>
      <c r="G8" s="71">
        <v>725</v>
      </c>
      <c r="H8" s="145">
        <v>0</v>
      </c>
      <c r="I8" s="232">
        <f t="shared" ref="I8:I13" si="0">ROUND($G8*H8,2)</f>
        <v>0</v>
      </c>
    </row>
    <row r="9" spans="1:9" ht="20.100000000000001" customHeight="1">
      <c r="A9" s="12" t="s">
        <v>10</v>
      </c>
      <c r="B9" s="25" t="s">
        <v>69</v>
      </c>
      <c r="C9" s="74"/>
      <c r="D9" s="75"/>
      <c r="E9" s="69" t="s">
        <v>61</v>
      </c>
      <c r="F9" s="70" t="s">
        <v>14</v>
      </c>
      <c r="G9" s="71">
        <v>35</v>
      </c>
      <c r="H9" s="145">
        <v>0</v>
      </c>
      <c r="I9" s="232">
        <f>ROUND($G9*H9,2)</f>
        <v>0</v>
      </c>
    </row>
    <row r="10" spans="1:9" ht="13.2">
      <c r="A10" s="12" t="s">
        <v>28</v>
      </c>
      <c r="B10" s="25" t="s">
        <v>70</v>
      </c>
      <c r="C10" s="110"/>
      <c r="D10" s="110"/>
      <c r="E10" s="77" t="s">
        <v>90</v>
      </c>
      <c r="F10" s="70" t="s">
        <v>91</v>
      </c>
      <c r="G10" s="71">
        <v>14.2</v>
      </c>
      <c r="H10" s="145">
        <v>0</v>
      </c>
      <c r="I10" s="232">
        <f t="shared" si="0"/>
        <v>0</v>
      </c>
    </row>
    <row r="11" spans="1:9" ht="13.2">
      <c r="A11" s="12"/>
      <c r="B11" s="25" t="s">
        <v>94</v>
      </c>
      <c r="C11" s="110"/>
      <c r="D11" s="110"/>
      <c r="E11" s="77" t="s">
        <v>92</v>
      </c>
      <c r="F11" s="70" t="s">
        <v>91</v>
      </c>
      <c r="G11" s="71">
        <v>1.2</v>
      </c>
      <c r="H11" s="145">
        <v>0</v>
      </c>
      <c r="I11" s="232">
        <f t="shared" si="0"/>
        <v>0</v>
      </c>
    </row>
    <row r="12" spans="1:9" ht="22.8">
      <c r="A12" s="8" t="s">
        <v>7</v>
      </c>
      <c r="B12" s="25" t="s">
        <v>114</v>
      </c>
      <c r="C12" s="110"/>
      <c r="D12" s="110"/>
      <c r="E12" s="77" t="s">
        <v>62</v>
      </c>
      <c r="F12" s="70" t="s">
        <v>5</v>
      </c>
      <c r="G12" s="71">
        <v>53</v>
      </c>
      <c r="H12" s="145">
        <v>0</v>
      </c>
      <c r="I12" s="232">
        <f t="shared" si="0"/>
        <v>0</v>
      </c>
    </row>
    <row r="13" spans="1:9" ht="13.2">
      <c r="A13" s="8"/>
      <c r="B13" s="25" t="s">
        <v>115</v>
      </c>
      <c r="C13" s="110"/>
      <c r="D13" s="110"/>
      <c r="E13" s="77" t="s">
        <v>105</v>
      </c>
      <c r="F13" s="70" t="s">
        <v>5</v>
      </c>
      <c r="G13" s="71">
        <v>8</v>
      </c>
      <c r="H13" s="145">
        <v>0</v>
      </c>
      <c r="I13" s="232">
        <f t="shared" si="0"/>
        <v>0</v>
      </c>
    </row>
    <row r="14" spans="1:9" ht="12">
      <c r="A14" s="8" t="s">
        <v>4</v>
      </c>
      <c r="B14" s="78"/>
      <c r="C14" s="79"/>
      <c r="D14" s="80"/>
      <c r="E14" s="81" t="s">
        <v>16</v>
      </c>
      <c r="F14" s="82" t="s">
        <v>34</v>
      </c>
      <c r="G14" s="15">
        <v>8</v>
      </c>
      <c r="H14" s="233"/>
      <c r="I14" s="66" t="s">
        <v>12</v>
      </c>
    </row>
    <row r="15" spans="1:9" ht="13.2">
      <c r="A15" s="12" t="s">
        <v>11</v>
      </c>
      <c r="B15" s="49" t="s">
        <v>71</v>
      </c>
      <c r="C15" s="50" t="s">
        <v>38</v>
      </c>
      <c r="D15" s="51"/>
      <c r="E15" s="52" t="s">
        <v>17</v>
      </c>
      <c r="F15" s="53"/>
      <c r="G15" s="84"/>
      <c r="H15" s="55"/>
      <c r="I15" s="56"/>
    </row>
    <row r="16" spans="1:9" ht="24">
      <c r="A16" s="8" t="s">
        <v>21</v>
      </c>
      <c r="B16" s="49"/>
      <c r="C16" s="57"/>
      <c r="D16" s="58"/>
      <c r="E16" s="85" t="s">
        <v>63</v>
      </c>
      <c r="F16" s="3"/>
      <c r="G16" s="10"/>
      <c r="H16" s="59"/>
      <c r="I16" s="11"/>
    </row>
    <row r="17" spans="1:9" ht="12">
      <c r="A17" s="12" t="s">
        <v>23</v>
      </c>
      <c r="B17" s="49" t="s">
        <v>72</v>
      </c>
      <c r="C17" s="87" t="s">
        <v>39</v>
      </c>
      <c r="D17" s="88"/>
      <c r="E17" s="89" t="s">
        <v>18</v>
      </c>
      <c r="F17" s="90" t="s">
        <v>12</v>
      </c>
      <c r="G17" s="91" t="s">
        <v>12</v>
      </c>
      <c r="H17" s="147"/>
      <c r="I17" s="66" t="s">
        <v>12</v>
      </c>
    </row>
    <row r="18" spans="1:9" ht="45.6">
      <c r="A18" s="12" t="s">
        <v>25</v>
      </c>
      <c r="B18" s="25" t="s">
        <v>73</v>
      </c>
      <c r="C18" s="94"/>
      <c r="D18" s="95"/>
      <c r="E18" s="96" t="s">
        <v>19</v>
      </c>
      <c r="F18" s="90" t="s">
        <v>20</v>
      </c>
      <c r="G18" s="71">
        <v>5917</v>
      </c>
      <c r="H18" s="145">
        <v>0</v>
      </c>
      <c r="I18" s="232">
        <f>ROUND($G18*H18,2)</f>
        <v>0</v>
      </c>
    </row>
    <row r="19" spans="1:9" ht="12">
      <c r="A19" s="12" t="s">
        <v>26</v>
      </c>
      <c r="B19" s="49" t="s">
        <v>74</v>
      </c>
      <c r="C19" s="87" t="s">
        <v>40</v>
      </c>
      <c r="D19" s="88"/>
      <c r="E19" s="97" t="s">
        <v>22</v>
      </c>
      <c r="F19" s="90" t="s">
        <v>12</v>
      </c>
      <c r="G19" s="91" t="s">
        <v>12</v>
      </c>
      <c r="H19" s="147"/>
      <c r="I19" s="66" t="s">
        <v>12</v>
      </c>
    </row>
    <row r="20" spans="1:9" s="27" customFormat="1" ht="34.200000000000003">
      <c r="A20" s="26"/>
      <c r="B20" s="25" t="s">
        <v>75</v>
      </c>
      <c r="C20" s="98"/>
      <c r="D20" s="99"/>
      <c r="E20" s="100" t="s">
        <v>32</v>
      </c>
      <c r="F20" s="90" t="s">
        <v>20</v>
      </c>
      <c r="G20" s="71">
        <v>538</v>
      </c>
      <c r="H20" s="145">
        <v>0</v>
      </c>
      <c r="I20" s="232">
        <f t="shared" ref="I20:I23" si="1">ROUND($G20*H20,2)</f>
        <v>0</v>
      </c>
    </row>
    <row r="21" spans="1:9" ht="34.200000000000003">
      <c r="A21" s="25" t="s">
        <v>27</v>
      </c>
      <c r="B21" s="25" t="s">
        <v>76</v>
      </c>
      <c r="C21" s="101"/>
      <c r="D21" s="102"/>
      <c r="E21" s="100" t="s">
        <v>24</v>
      </c>
      <c r="F21" s="90" t="s">
        <v>20</v>
      </c>
      <c r="G21" s="71">
        <v>3194</v>
      </c>
      <c r="H21" s="145">
        <v>0</v>
      </c>
      <c r="I21" s="232">
        <f t="shared" si="1"/>
        <v>0</v>
      </c>
    </row>
    <row r="22" spans="1:9" ht="20.100000000000001" customHeight="1">
      <c r="A22" s="8"/>
      <c r="B22" s="25" t="s">
        <v>77</v>
      </c>
      <c r="C22" s="101"/>
      <c r="D22" s="102"/>
      <c r="E22" s="100" t="s">
        <v>33</v>
      </c>
      <c r="F22" s="90" t="s">
        <v>20</v>
      </c>
      <c r="G22" s="71">
        <v>1257</v>
      </c>
      <c r="H22" s="145">
        <v>0</v>
      </c>
      <c r="I22" s="232">
        <f t="shared" si="1"/>
        <v>0</v>
      </c>
    </row>
    <row r="23" spans="1:9" ht="22.8">
      <c r="B23" s="25" t="s">
        <v>78</v>
      </c>
      <c r="C23" s="94"/>
      <c r="D23" s="94"/>
      <c r="E23" s="103" t="s">
        <v>237</v>
      </c>
      <c r="F23" s="90" t="s">
        <v>15</v>
      </c>
      <c r="G23" s="71">
        <v>772.2</v>
      </c>
      <c r="H23" s="145">
        <v>0</v>
      </c>
      <c r="I23" s="232">
        <f t="shared" si="1"/>
        <v>0</v>
      </c>
    </row>
    <row r="24" spans="1:9" ht="13.2">
      <c r="B24" s="78"/>
      <c r="C24" s="119"/>
      <c r="D24" s="120"/>
      <c r="E24" s="121" t="s">
        <v>103</v>
      </c>
      <c r="F24" s="82"/>
      <c r="G24" s="122">
        <v>21</v>
      </c>
      <c r="H24" s="234" t="s">
        <v>12</v>
      </c>
      <c r="I24" s="66" t="s">
        <v>12</v>
      </c>
    </row>
    <row r="25" spans="1:9" ht="13.8">
      <c r="B25" s="49"/>
      <c r="C25" s="344" t="s">
        <v>81</v>
      </c>
      <c r="D25" s="344"/>
      <c r="E25" s="344"/>
      <c r="F25" s="105"/>
      <c r="G25" s="125">
        <v>70</v>
      </c>
      <c r="H25" s="38" t="s">
        <v>12</v>
      </c>
      <c r="I25" s="227">
        <f>SUM(I7:I23)</f>
        <v>0</v>
      </c>
    </row>
    <row r="26" spans="1:9" ht="33.6" customHeight="1">
      <c r="B26" s="363" t="s">
        <v>186</v>
      </c>
      <c r="C26" s="363"/>
      <c r="D26" s="363"/>
      <c r="E26" s="363"/>
      <c r="F26" s="363"/>
      <c r="G26" s="363"/>
      <c r="H26" s="363"/>
      <c r="I26" s="363"/>
    </row>
    <row r="27" spans="1:9" ht="11.4" customHeight="1">
      <c r="B27" s="364" t="s">
        <v>187</v>
      </c>
      <c r="C27" s="364" t="s">
        <v>188</v>
      </c>
      <c r="D27" s="363" t="s">
        <v>189</v>
      </c>
      <c r="E27" s="363" t="s">
        <v>190</v>
      </c>
      <c r="F27" s="363" t="s">
        <v>43</v>
      </c>
      <c r="G27" s="365" t="s">
        <v>1</v>
      </c>
      <c r="H27" s="366" t="s">
        <v>191</v>
      </c>
      <c r="I27" s="366" t="s">
        <v>192</v>
      </c>
    </row>
    <row r="28" spans="1:9" ht="11.4" customHeight="1">
      <c r="B28" s="364"/>
      <c r="C28" s="364"/>
      <c r="D28" s="363"/>
      <c r="E28" s="363"/>
      <c r="F28" s="363"/>
      <c r="G28" s="365"/>
      <c r="H28" s="366"/>
      <c r="I28" s="366"/>
    </row>
    <row r="29" spans="1:9" ht="12">
      <c r="B29" s="235" t="s">
        <v>193</v>
      </c>
      <c r="C29" s="235" t="s">
        <v>194</v>
      </c>
      <c r="D29" s="235">
        <v>3</v>
      </c>
      <c r="E29" s="235">
        <v>4</v>
      </c>
      <c r="F29" s="235">
        <v>5</v>
      </c>
      <c r="G29" s="236">
        <v>6</v>
      </c>
      <c r="H29" s="237">
        <v>7</v>
      </c>
      <c r="I29" s="237">
        <v>8</v>
      </c>
    </row>
    <row r="30" spans="1:9" ht="24">
      <c r="B30" s="235"/>
      <c r="C30" s="235"/>
      <c r="D30" s="238" t="s">
        <v>36</v>
      </c>
      <c r="E30" s="239" t="s">
        <v>13</v>
      </c>
      <c r="F30" s="238"/>
      <c r="G30" s="238"/>
      <c r="H30" s="238"/>
      <c r="I30" s="238"/>
    </row>
    <row r="31" spans="1:9" ht="13.2">
      <c r="B31" s="236" t="s">
        <v>193</v>
      </c>
      <c r="C31" s="367" t="s">
        <v>195</v>
      </c>
      <c r="D31" s="368"/>
      <c r="E31" s="239" t="s">
        <v>2</v>
      </c>
      <c r="F31" s="238"/>
      <c r="G31" s="240"/>
      <c r="H31" s="240"/>
      <c r="I31" s="240"/>
    </row>
    <row r="32" spans="1:9" ht="13.2">
      <c r="B32" s="237" t="s">
        <v>196</v>
      </c>
      <c r="C32" s="241" t="s">
        <v>197</v>
      </c>
      <c r="D32" s="240"/>
      <c r="E32" s="242" t="s">
        <v>198</v>
      </c>
      <c r="F32" s="243" t="s">
        <v>20</v>
      </c>
      <c r="G32" s="244">
        <v>21</v>
      </c>
      <c r="H32" s="145">
        <v>0</v>
      </c>
      <c r="I32" s="232">
        <f>H32*G32</f>
        <v>0</v>
      </c>
    </row>
    <row r="33" spans="2:9" ht="13.2">
      <c r="B33" s="245" t="s">
        <v>199</v>
      </c>
      <c r="C33" s="246" t="s">
        <v>200</v>
      </c>
      <c r="D33" s="247"/>
      <c r="E33" s="248" t="s">
        <v>201</v>
      </c>
      <c r="F33" s="249" t="s">
        <v>202</v>
      </c>
      <c r="G33" s="250">
        <f>12.18+8.97-3.01+3.98+25.45 +27*0.33</f>
        <v>56.48</v>
      </c>
      <c r="H33" s="145">
        <v>0</v>
      </c>
      <c r="I33" s="232">
        <f>H33*G33</f>
        <v>0</v>
      </c>
    </row>
    <row r="34" spans="2:9" ht="24">
      <c r="B34" s="235"/>
      <c r="C34" s="235"/>
      <c r="D34" s="238" t="s">
        <v>203</v>
      </c>
      <c r="E34" s="239" t="s">
        <v>17</v>
      </c>
      <c r="F34" s="238"/>
      <c r="G34" s="240"/>
      <c r="H34" s="240"/>
      <c r="I34" s="240"/>
    </row>
    <row r="35" spans="2:9" ht="24">
      <c r="B35" s="236" t="s">
        <v>194</v>
      </c>
      <c r="C35" s="367" t="s">
        <v>204</v>
      </c>
      <c r="D35" s="368"/>
      <c r="E35" s="239" t="s">
        <v>63</v>
      </c>
      <c r="F35" s="238"/>
      <c r="G35" s="240"/>
      <c r="H35" s="240"/>
      <c r="I35" s="240"/>
    </row>
    <row r="36" spans="2:9" ht="24">
      <c r="B36" s="251" t="s">
        <v>205</v>
      </c>
      <c r="C36" s="251"/>
      <c r="D36" s="238" t="s">
        <v>206</v>
      </c>
      <c r="E36" s="239" t="s">
        <v>207</v>
      </c>
      <c r="F36" s="238"/>
      <c r="G36" s="240"/>
      <c r="H36" s="240"/>
      <c r="I36" s="240"/>
    </row>
    <row r="37" spans="2:9" ht="13.2">
      <c r="B37" s="237" t="s">
        <v>208</v>
      </c>
      <c r="C37" s="241" t="s">
        <v>209</v>
      </c>
      <c r="D37" s="240"/>
      <c r="E37" s="242" t="s">
        <v>210</v>
      </c>
      <c r="F37" s="243" t="s">
        <v>20</v>
      </c>
      <c r="G37" s="250">
        <f>17.004*5+11.806*5</f>
        <v>144.05000000000001</v>
      </c>
      <c r="H37" s="145">
        <v>0</v>
      </c>
      <c r="I37" s="232">
        <f>H37*G37</f>
        <v>0</v>
      </c>
    </row>
    <row r="38" spans="2:9" ht="24">
      <c r="B38" s="251" t="s">
        <v>211</v>
      </c>
      <c r="C38" s="251"/>
      <c r="D38" s="238" t="s">
        <v>212</v>
      </c>
      <c r="E38" s="239" t="s">
        <v>213</v>
      </c>
      <c r="F38" s="238"/>
      <c r="G38" s="240"/>
      <c r="H38" s="240"/>
      <c r="I38" s="240"/>
    </row>
    <row r="39" spans="2:9" ht="22.8">
      <c r="B39" s="237" t="s">
        <v>214</v>
      </c>
      <c r="C39" s="252" t="s">
        <v>215</v>
      </c>
      <c r="D39" s="240"/>
      <c r="E39" s="253" t="s">
        <v>216</v>
      </c>
      <c r="F39" s="243" t="s">
        <v>20</v>
      </c>
      <c r="G39" s="250">
        <f>17.004*5+11.806*5</f>
        <v>144.05000000000001</v>
      </c>
      <c r="H39" s="145">
        <v>0</v>
      </c>
      <c r="I39" s="232">
        <f>H39*G39</f>
        <v>0</v>
      </c>
    </row>
    <row r="40" spans="2:9" ht="13.2">
      <c r="B40"/>
      <c r="C40" s="254"/>
      <c r="D40"/>
      <c r="E40"/>
      <c r="F40"/>
      <c r="G40" s="255"/>
      <c r="H40" t="s">
        <v>163</v>
      </c>
      <c r="I40" s="256">
        <f>SUM(I32:I39)</f>
        <v>0</v>
      </c>
    </row>
    <row r="41" spans="2:9" ht="33.6" customHeight="1">
      <c r="B41" s="363" t="s">
        <v>217</v>
      </c>
      <c r="C41" s="363"/>
      <c r="D41" s="363"/>
      <c r="E41" s="363"/>
      <c r="F41" s="363"/>
      <c r="G41" s="363"/>
      <c r="H41" s="363"/>
      <c r="I41" s="363"/>
    </row>
    <row r="42" spans="2:9">
      <c r="B42" s="364" t="s">
        <v>187</v>
      </c>
      <c r="C42" s="363" t="s">
        <v>218</v>
      </c>
      <c r="D42" s="363" t="s">
        <v>219</v>
      </c>
      <c r="E42" s="363" t="s">
        <v>190</v>
      </c>
      <c r="F42" s="363" t="s">
        <v>43</v>
      </c>
      <c r="G42" s="372" t="s">
        <v>1</v>
      </c>
      <c r="H42" s="372" t="s">
        <v>29</v>
      </c>
      <c r="I42" s="372" t="s">
        <v>30</v>
      </c>
    </row>
    <row r="43" spans="2:9">
      <c r="B43" s="364"/>
      <c r="C43" s="363"/>
      <c r="D43" s="363"/>
      <c r="E43" s="363"/>
      <c r="F43" s="363"/>
      <c r="G43" s="372"/>
      <c r="H43" s="372"/>
      <c r="I43" s="372"/>
    </row>
    <row r="44" spans="2:9">
      <c r="B44" s="237" t="s">
        <v>193</v>
      </c>
      <c r="C44" s="257">
        <v>2</v>
      </c>
      <c r="D44" s="257">
        <v>3</v>
      </c>
      <c r="E44" s="257">
        <v>4</v>
      </c>
      <c r="F44" s="258">
        <v>5</v>
      </c>
      <c r="G44" s="258">
        <v>6</v>
      </c>
      <c r="H44" s="258">
        <v>7</v>
      </c>
      <c r="I44" s="258">
        <v>8</v>
      </c>
    </row>
    <row r="45" spans="2:9" ht="26.4">
      <c r="B45" s="259"/>
      <c r="C45" s="260" t="s">
        <v>203</v>
      </c>
      <c r="D45" s="261"/>
      <c r="E45" s="369" t="s">
        <v>17</v>
      </c>
      <c r="F45" s="370"/>
      <c r="G45" s="370"/>
      <c r="H45" s="370"/>
      <c r="I45" s="371"/>
    </row>
    <row r="46" spans="2:9" ht="13.2">
      <c r="B46" s="262">
        <v>1</v>
      </c>
      <c r="C46" s="373" t="s">
        <v>204</v>
      </c>
      <c r="D46" s="374"/>
      <c r="E46" s="375" t="s">
        <v>63</v>
      </c>
      <c r="F46" s="376"/>
      <c r="G46" s="376"/>
      <c r="H46" s="376"/>
      <c r="I46" s="377"/>
    </row>
    <row r="47" spans="2:9">
      <c r="B47" s="258">
        <v>2</v>
      </c>
      <c r="C47" s="263" t="s">
        <v>40</v>
      </c>
      <c r="D47" s="264"/>
      <c r="E47" s="265" t="s">
        <v>220</v>
      </c>
      <c r="F47" s="266" t="s">
        <v>12</v>
      </c>
      <c r="G47" s="267" t="s">
        <v>12</v>
      </c>
      <c r="H47" s="267" t="s">
        <v>12</v>
      </c>
      <c r="I47" s="267" t="str">
        <f>IF(H47="x","x",G47*H47)</f>
        <v>x</v>
      </c>
    </row>
    <row r="48" spans="2:9" ht="34.200000000000003">
      <c r="B48" s="258">
        <v>3</v>
      </c>
      <c r="C48" s="268"/>
      <c r="D48" s="269" t="s">
        <v>221</v>
      </c>
      <c r="E48" s="265" t="s">
        <v>32</v>
      </c>
      <c r="F48" s="266" t="s">
        <v>222</v>
      </c>
      <c r="G48" s="267">
        <f>11.2*(2.48+3.56)</f>
        <v>67.650000000000006</v>
      </c>
      <c r="H48" s="145">
        <v>0</v>
      </c>
      <c r="I48" s="232">
        <f>H48*G48</f>
        <v>0</v>
      </c>
    </row>
    <row r="49" spans="2:9" ht="13.2">
      <c r="B49"/>
      <c r="C49"/>
      <c r="D49"/>
      <c r="E49"/>
      <c r="F49"/>
      <c r="G49" s="256"/>
      <c r="H49" s="267" t="s">
        <v>163</v>
      </c>
      <c r="I49" s="267">
        <f>I48</f>
        <v>0</v>
      </c>
    </row>
    <row r="50" spans="2:9" ht="12">
      <c r="B50" s="363" t="s">
        <v>223</v>
      </c>
      <c r="C50" s="363"/>
      <c r="D50" s="363"/>
      <c r="E50" s="363"/>
      <c r="F50" s="363"/>
      <c r="G50" s="363"/>
      <c r="H50" s="363"/>
      <c r="I50" s="363"/>
    </row>
    <row r="51" spans="2:9">
      <c r="B51" s="364" t="s">
        <v>187</v>
      </c>
      <c r="C51" s="363" t="s">
        <v>218</v>
      </c>
      <c r="D51" s="363" t="s">
        <v>219</v>
      </c>
      <c r="E51" s="363" t="s">
        <v>190</v>
      </c>
      <c r="F51" s="363" t="s">
        <v>43</v>
      </c>
      <c r="G51" s="372" t="s">
        <v>1</v>
      </c>
      <c r="H51" s="372" t="s">
        <v>29</v>
      </c>
      <c r="I51" s="372" t="s">
        <v>30</v>
      </c>
    </row>
    <row r="52" spans="2:9">
      <c r="B52" s="364"/>
      <c r="C52" s="363"/>
      <c r="D52" s="363"/>
      <c r="E52" s="363"/>
      <c r="F52" s="363"/>
      <c r="G52" s="372"/>
      <c r="H52" s="372"/>
      <c r="I52" s="372"/>
    </row>
    <row r="53" spans="2:9">
      <c r="B53" s="237" t="s">
        <v>193</v>
      </c>
      <c r="C53" s="257">
        <v>2</v>
      </c>
      <c r="D53" s="257">
        <v>3</v>
      </c>
      <c r="E53" s="257">
        <v>4</v>
      </c>
      <c r="F53" s="258">
        <v>5</v>
      </c>
      <c r="G53" s="258">
        <v>6</v>
      </c>
      <c r="H53" s="258">
        <v>7</v>
      </c>
      <c r="I53" s="258">
        <v>8</v>
      </c>
    </row>
    <row r="54" spans="2:9" ht="26.4">
      <c r="B54" s="270"/>
      <c r="C54" s="271" t="s">
        <v>36</v>
      </c>
      <c r="D54" s="261"/>
      <c r="E54" s="369" t="s">
        <v>13</v>
      </c>
      <c r="F54" s="370"/>
      <c r="G54" s="370"/>
      <c r="H54" s="370"/>
      <c r="I54" s="371"/>
    </row>
    <row r="55" spans="2:9" ht="12">
      <c r="B55" s="259">
        <v>1</v>
      </c>
      <c r="C55" s="373" t="s">
        <v>195</v>
      </c>
      <c r="D55" s="374"/>
      <c r="E55" s="375" t="s">
        <v>2</v>
      </c>
      <c r="F55" s="376"/>
      <c r="G55" s="376"/>
      <c r="H55" s="376"/>
      <c r="I55" s="377"/>
    </row>
    <row r="56" spans="2:9">
      <c r="B56" s="258">
        <v>2</v>
      </c>
      <c r="C56" s="272" t="s">
        <v>37</v>
      </c>
      <c r="D56" s="273"/>
      <c r="E56" s="265" t="s">
        <v>64</v>
      </c>
      <c r="F56" s="257" t="s">
        <v>12</v>
      </c>
      <c r="G56" s="274" t="s">
        <v>12</v>
      </c>
      <c r="H56" s="274" t="s">
        <v>12</v>
      </c>
      <c r="I56" s="274" t="str">
        <f>IF(H56="x","x",G56*H56)</f>
        <v>x</v>
      </c>
    </row>
    <row r="57" spans="2:9" ht="13.2">
      <c r="B57" s="275">
        <v>3</v>
      </c>
      <c r="C57" s="276"/>
      <c r="D57" s="277" t="s">
        <v>224</v>
      </c>
      <c r="E57" s="265" t="s">
        <v>35</v>
      </c>
      <c r="F57" s="257" t="s">
        <v>225</v>
      </c>
      <c r="G57" s="274">
        <v>57</v>
      </c>
      <c r="H57" s="145">
        <v>0</v>
      </c>
      <c r="I57" s="232">
        <f>H57*G57</f>
        <v>0</v>
      </c>
    </row>
    <row r="58" spans="2:9" ht="13.2">
      <c r="B58" s="275">
        <v>4</v>
      </c>
      <c r="C58" s="276"/>
      <c r="D58" s="277" t="s">
        <v>200</v>
      </c>
      <c r="E58" s="265" t="s">
        <v>60</v>
      </c>
      <c r="F58" s="257" t="s">
        <v>222</v>
      </c>
      <c r="G58" s="274">
        <v>444</v>
      </c>
      <c r="H58" s="145">
        <v>0</v>
      </c>
      <c r="I58" s="232">
        <f t="shared" ref="I58:I61" si="2">H58*G58</f>
        <v>0</v>
      </c>
    </row>
    <row r="59" spans="2:9" ht="13.2">
      <c r="B59" s="275">
        <v>5</v>
      </c>
      <c r="C59" s="276"/>
      <c r="D59" s="277" t="s">
        <v>226</v>
      </c>
      <c r="E59" s="136" t="s">
        <v>61</v>
      </c>
      <c r="F59" s="137" t="s">
        <v>222</v>
      </c>
      <c r="G59" s="278">
        <v>125</v>
      </c>
      <c r="H59" s="145">
        <v>0</v>
      </c>
      <c r="I59" s="232">
        <f t="shared" si="2"/>
        <v>0</v>
      </c>
    </row>
    <row r="60" spans="2:9" ht="22.8">
      <c r="B60" s="275">
        <v>6</v>
      </c>
      <c r="C60" s="276"/>
      <c r="D60" s="277" t="s">
        <v>227</v>
      </c>
      <c r="E60" s="265" t="s">
        <v>62</v>
      </c>
      <c r="F60" s="257" t="s">
        <v>5</v>
      </c>
      <c r="G60" s="274">
        <v>64</v>
      </c>
      <c r="H60" s="145">
        <v>0</v>
      </c>
      <c r="I60" s="232">
        <f t="shared" si="2"/>
        <v>0</v>
      </c>
    </row>
    <row r="61" spans="2:9" ht="13.2">
      <c r="B61" s="279">
        <v>7</v>
      </c>
      <c r="C61" s="280"/>
      <c r="D61" s="264" t="s">
        <v>228</v>
      </c>
      <c r="E61" s="265" t="s">
        <v>229</v>
      </c>
      <c r="F61" s="266" t="s">
        <v>225</v>
      </c>
      <c r="G61" s="267">
        <v>170.8</v>
      </c>
      <c r="H61" s="145">
        <v>0</v>
      </c>
      <c r="I61" s="232">
        <f t="shared" si="2"/>
        <v>0</v>
      </c>
    </row>
    <row r="62" spans="2:9" ht="26.4">
      <c r="B62" s="270">
        <v>10</v>
      </c>
      <c r="C62" s="271" t="s">
        <v>203</v>
      </c>
      <c r="D62" s="261"/>
      <c r="E62" s="369" t="s">
        <v>17</v>
      </c>
      <c r="F62" s="370"/>
      <c r="G62" s="370"/>
      <c r="H62" s="370"/>
      <c r="I62" s="371"/>
    </row>
    <row r="63" spans="2:9" ht="12">
      <c r="B63" s="259">
        <v>11</v>
      </c>
      <c r="C63" s="373" t="s">
        <v>204</v>
      </c>
      <c r="D63" s="374"/>
      <c r="E63" s="375" t="s">
        <v>63</v>
      </c>
      <c r="F63" s="376"/>
      <c r="G63" s="376"/>
      <c r="H63" s="376"/>
      <c r="I63" s="377"/>
    </row>
    <row r="64" spans="2:9">
      <c r="B64" s="281">
        <v>12</v>
      </c>
      <c r="C64" s="263" t="s">
        <v>39</v>
      </c>
      <c r="D64" s="264"/>
      <c r="E64" s="265" t="s">
        <v>18</v>
      </c>
      <c r="F64" s="266" t="s">
        <v>12</v>
      </c>
      <c r="G64" s="267" t="s">
        <v>12</v>
      </c>
      <c r="H64" s="267" t="s">
        <v>12</v>
      </c>
      <c r="I64" s="267" t="str">
        <f>IF(H64="x","x",G64*H64)</f>
        <v>x</v>
      </c>
    </row>
    <row r="65" spans="2:9" ht="45.6">
      <c r="B65" s="281">
        <v>13</v>
      </c>
      <c r="C65" s="280"/>
      <c r="D65" s="264" t="s">
        <v>209</v>
      </c>
      <c r="E65" s="265" t="s">
        <v>19</v>
      </c>
      <c r="F65" s="266" t="s">
        <v>222</v>
      </c>
      <c r="G65" s="267">
        <f>2302.3+1697</f>
        <v>3999.3</v>
      </c>
      <c r="H65" s="145">
        <v>0</v>
      </c>
      <c r="I65" s="232">
        <f>H65*G65</f>
        <v>0</v>
      </c>
    </row>
    <row r="66" spans="2:9" ht="13.2">
      <c r="B66" s="281">
        <v>14</v>
      </c>
      <c r="C66" s="263" t="s">
        <v>40</v>
      </c>
      <c r="D66" s="264"/>
      <c r="E66" s="265" t="s">
        <v>220</v>
      </c>
      <c r="F66" s="266" t="s">
        <v>12</v>
      </c>
      <c r="G66" s="267" t="s">
        <v>12</v>
      </c>
      <c r="H66" s="267"/>
      <c r="I66" s="232"/>
    </row>
    <row r="67" spans="2:9" ht="34.200000000000003">
      <c r="B67" s="281">
        <v>15</v>
      </c>
      <c r="C67" s="268"/>
      <c r="D67" s="378" t="s">
        <v>221</v>
      </c>
      <c r="E67" s="265" t="s">
        <v>32</v>
      </c>
      <c r="F67" s="266" t="s">
        <v>222</v>
      </c>
      <c r="G67" s="267">
        <v>1432</v>
      </c>
      <c r="H67" s="145">
        <v>0</v>
      </c>
      <c r="I67" s="232">
        <f t="shared" ref="I67:I70" si="3">H67*G67</f>
        <v>0</v>
      </c>
    </row>
    <row r="68" spans="2:9" ht="34.200000000000003">
      <c r="B68" s="281">
        <v>16</v>
      </c>
      <c r="C68" s="268"/>
      <c r="D68" s="379"/>
      <c r="E68" s="265" t="s">
        <v>24</v>
      </c>
      <c r="F68" s="266" t="s">
        <v>222</v>
      </c>
      <c r="G68" s="267">
        <v>1953.5</v>
      </c>
      <c r="H68" s="145">
        <v>0</v>
      </c>
      <c r="I68" s="232">
        <f t="shared" si="3"/>
        <v>0</v>
      </c>
    </row>
    <row r="69" spans="2:9" ht="22.8">
      <c r="B69" s="281">
        <v>17</v>
      </c>
      <c r="C69" s="268"/>
      <c r="D69" s="378" t="s">
        <v>230</v>
      </c>
      <c r="E69" s="265" t="s">
        <v>33</v>
      </c>
      <c r="F69" s="266" t="s">
        <v>222</v>
      </c>
      <c r="G69" s="267">
        <v>1430.19</v>
      </c>
      <c r="H69" s="145">
        <v>0</v>
      </c>
      <c r="I69" s="232">
        <f t="shared" si="3"/>
        <v>0</v>
      </c>
    </row>
    <row r="70" spans="2:9" ht="22.8">
      <c r="B70" s="281">
        <v>18</v>
      </c>
      <c r="C70" s="280"/>
      <c r="D70" s="379"/>
      <c r="E70" s="265" t="s">
        <v>96</v>
      </c>
      <c r="F70" s="266" t="s">
        <v>222</v>
      </c>
      <c r="G70" s="267">
        <v>371.3</v>
      </c>
      <c r="H70" s="145">
        <v>0</v>
      </c>
      <c r="I70" s="232">
        <f t="shared" si="3"/>
        <v>0</v>
      </c>
    </row>
    <row r="71" spans="2:9" ht="13.2">
      <c r="B71"/>
      <c r="C71"/>
      <c r="D71"/>
      <c r="E71"/>
      <c r="F71"/>
      <c r="G71" s="256"/>
      <c r="H71" s="267" t="s">
        <v>231</v>
      </c>
      <c r="I71" s="267">
        <f>SUM(I65:I70)+SUM(I57:I61)</f>
        <v>0</v>
      </c>
    </row>
    <row r="73" spans="2:9" ht="17.399999999999999">
      <c r="G73" s="282" t="s">
        <v>232</v>
      </c>
      <c r="H73" s="282"/>
      <c r="I73" s="283">
        <f>I71+I49+I40+I25</f>
        <v>0</v>
      </c>
    </row>
  </sheetData>
  <sheetProtection selectLockedCells="1" selectUnlockedCells="1"/>
  <mergeCells count="43">
    <mergeCell ref="D69:D70"/>
    <mergeCell ref="C55:D55"/>
    <mergeCell ref="E55:I55"/>
    <mergeCell ref="E62:I62"/>
    <mergeCell ref="C63:D63"/>
    <mergeCell ref="E63:I63"/>
    <mergeCell ref="D67:D68"/>
    <mergeCell ref="E54:I54"/>
    <mergeCell ref="H42:H43"/>
    <mergeCell ref="I42:I43"/>
    <mergeCell ref="E45:I45"/>
    <mergeCell ref="C46:D46"/>
    <mergeCell ref="E46:I46"/>
    <mergeCell ref="G42:G43"/>
    <mergeCell ref="B50:I50"/>
    <mergeCell ref="B51:B52"/>
    <mergeCell ref="C51:C52"/>
    <mergeCell ref="D51:D52"/>
    <mergeCell ref="E51:E52"/>
    <mergeCell ref="F51:F52"/>
    <mergeCell ref="G51:G52"/>
    <mergeCell ref="H51:H52"/>
    <mergeCell ref="I51:I52"/>
    <mergeCell ref="B42:B43"/>
    <mergeCell ref="C42:C43"/>
    <mergeCell ref="D42:D43"/>
    <mergeCell ref="E42:E43"/>
    <mergeCell ref="F42:F43"/>
    <mergeCell ref="C1:I1"/>
    <mergeCell ref="C2:I2"/>
    <mergeCell ref="B41:I41"/>
    <mergeCell ref="C25:E25"/>
    <mergeCell ref="B26:I26"/>
    <mergeCell ref="B27:B28"/>
    <mergeCell ref="C27:C28"/>
    <mergeCell ref="D27:D28"/>
    <mergeCell ref="E27:E28"/>
    <mergeCell ref="F27:F28"/>
    <mergeCell ref="G27:G28"/>
    <mergeCell ref="H27:H28"/>
    <mergeCell ref="I27:I28"/>
    <mergeCell ref="C31:D31"/>
    <mergeCell ref="C35:D35"/>
  </mergeCells>
  <conditionalFormatting sqref="H7:H13">
    <cfRule type="cellIs" dxfId="10" priority="11" stopIfTrue="1" operator="equal">
      <formula>0</formula>
    </cfRule>
  </conditionalFormatting>
  <conditionalFormatting sqref="H18">
    <cfRule type="cellIs" dxfId="9" priority="10" stopIfTrue="1" operator="equal">
      <formula>0</formula>
    </cfRule>
  </conditionalFormatting>
  <conditionalFormatting sqref="H20:H23">
    <cfRule type="cellIs" dxfId="8" priority="9" stopIfTrue="1" operator="equal">
      <formula>0</formula>
    </cfRule>
  </conditionalFormatting>
  <conditionalFormatting sqref="H32:H33">
    <cfRule type="cellIs" dxfId="7" priority="8" stopIfTrue="1" operator="equal">
      <formula>0</formula>
    </cfRule>
  </conditionalFormatting>
  <conditionalFormatting sqref="H37">
    <cfRule type="cellIs" dxfId="6" priority="7" stopIfTrue="1" operator="equal">
      <formula>0</formula>
    </cfRule>
  </conditionalFormatting>
  <conditionalFormatting sqref="H39">
    <cfRule type="cellIs" dxfId="5" priority="6" stopIfTrue="1" operator="equal">
      <formula>0</formula>
    </cfRule>
  </conditionalFormatting>
  <conditionalFormatting sqref="H48">
    <cfRule type="cellIs" dxfId="4" priority="5" stopIfTrue="1" operator="equal">
      <formula>0</formula>
    </cfRule>
  </conditionalFormatting>
  <conditionalFormatting sqref="H57:H61">
    <cfRule type="cellIs" dxfId="3" priority="3" stopIfTrue="1" operator="equal">
      <formula>0</formula>
    </cfRule>
  </conditionalFormatting>
  <conditionalFormatting sqref="H65">
    <cfRule type="cellIs" dxfId="2" priority="2" stopIfTrue="1" operator="equal">
      <formula>0</formula>
    </cfRule>
  </conditionalFormatting>
  <conditionalFormatting sqref="H67:H70">
    <cfRule type="cellIs" dxfId="1" priority="1" stopIfTrue="1" operator="equal">
      <formula>0</formula>
    </cfRule>
  </conditionalFormatting>
  <conditionalFormatting sqref="I41">
    <cfRule type="cellIs" dxfId="0" priority="4" stopIfTrue="1" operator="equal">
      <formula>0</formula>
    </cfRule>
  </conditionalFormatting>
  <pageMargins left="0.59055118110236227" right="0.23622047244094491" top="0.35433070866141736" bottom="0.74803149606299213" header="0.51181102362204722" footer="0.51181102362204722"/>
  <pageSetup paperSize="9" scale="75" firstPageNumber="0" fitToHeight="3" orientation="portrait" r:id="rId1"/>
  <headerFooter alignWithMargins="0">
    <oddFooter>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5</vt:i4>
      </vt:variant>
    </vt:vector>
  </HeadingPairs>
  <TitlesOfParts>
    <vt:vector size="8" baseType="lpstr">
      <vt:lpstr>Str tyt_01</vt:lpstr>
      <vt:lpstr>odcinek B </vt:lpstr>
      <vt:lpstr>odcinek C</vt:lpstr>
      <vt:lpstr>'odcinek B '!Obszar_wydruku</vt:lpstr>
      <vt:lpstr>'odcinek C'!Obszar_wydruku</vt:lpstr>
      <vt:lpstr>'Str tyt_01'!Obszar_wydruku</vt:lpstr>
      <vt:lpstr>'odcinek B '!Tytuły_wydruku</vt:lpstr>
      <vt:lpstr>'odcinek C'!Tytuły_wydruku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Salach</dc:creator>
  <cp:lastModifiedBy>Świderski, Jakub</cp:lastModifiedBy>
  <cp:lastPrinted>2024-10-31T13:02:42Z</cp:lastPrinted>
  <dcterms:created xsi:type="dcterms:W3CDTF">2014-06-03T15:49:30Z</dcterms:created>
  <dcterms:modified xsi:type="dcterms:W3CDTF">2024-11-06T13:28:17Z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-529947362</vt:i4>
  </property>
  <property fmtid="{D5CDD505-2E9C-101B-9397-08002B2CF9AE}" pid="3" name="_NewReviewCycle">
    <vt:lpwstr/>
  </property>
  <property fmtid="{D5CDD505-2E9C-101B-9397-08002B2CF9AE}" pid="4" name="_EmailSubject">
    <vt:lpwstr>E20 przedmiary</vt:lpwstr>
  </property>
  <property fmtid="{D5CDD505-2E9C-101B-9397-08002B2CF9AE}" pid="5" name="_AuthorEmail">
    <vt:lpwstr>tomasz.mikolajczak@aecom.com</vt:lpwstr>
  </property>
  <property fmtid="{D5CDD505-2E9C-101B-9397-08002B2CF9AE}" pid="6" name="_AuthorEmailDisplayName">
    <vt:lpwstr>Mikolajczak, Tomasz</vt:lpwstr>
  </property>
  <property fmtid="{D5CDD505-2E9C-101B-9397-08002B2CF9AE}" pid="7" name="_PreviousAdHocReviewCycleID">
    <vt:i4>1338019302</vt:i4>
  </property>
  <property fmtid="{D5CDD505-2E9C-101B-9397-08002B2CF9AE}" pid="8" name="_ReviewingToolsShownOnce">
    <vt:lpwstr/>
  </property>
  <property fmtid="{D5CDD505-2E9C-101B-9397-08002B2CF9AE}" pid="9" name="Folder_Number">
    <vt:lpwstr/>
  </property>
  <property fmtid="{D5CDD505-2E9C-101B-9397-08002B2CF9AE}" pid="10" name="Folder_Code">
    <vt:lpwstr/>
  </property>
  <property fmtid="{D5CDD505-2E9C-101B-9397-08002B2CF9AE}" pid="11" name="Folder_Name">
    <vt:lpwstr/>
  </property>
  <property fmtid="{D5CDD505-2E9C-101B-9397-08002B2CF9AE}" pid="12" name="Folder_Description">
    <vt:lpwstr/>
  </property>
  <property fmtid="{D5CDD505-2E9C-101B-9397-08002B2CF9AE}" pid="13" name="/Folder_Name/">
    <vt:lpwstr/>
  </property>
  <property fmtid="{D5CDD505-2E9C-101B-9397-08002B2CF9AE}" pid="14" name="/Folder_Description/">
    <vt:lpwstr/>
  </property>
  <property fmtid="{D5CDD505-2E9C-101B-9397-08002B2CF9AE}" pid="15" name="Folder_Version">
    <vt:lpwstr/>
  </property>
  <property fmtid="{D5CDD505-2E9C-101B-9397-08002B2CF9AE}" pid="16" name="Folder_VersionSeq">
    <vt:lpwstr/>
  </property>
  <property fmtid="{D5CDD505-2E9C-101B-9397-08002B2CF9AE}" pid="17" name="Folder_Manager">
    <vt:lpwstr/>
  </property>
  <property fmtid="{D5CDD505-2E9C-101B-9397-08002B2CF9AE}" pid="18" name="Folder_ManagerDesc">
    <vt:lpwstr/>
  </property>
  <property fmtid="{D5CDD505-2E9C-101B-9397-08002B2CF9AE}" pid="19" name="Folder_Storage">
    <vt:lpwstr/>
  </property>
  <property fmtid="{D5CDD505-2E9C-101B-9397-08002B2CF9AE}" pid="20" name="Folder_StorageDesc">
    <vt:lpwstr/>
  </property>
  <property fmtid="{D5CDD505-2E9C-101B-9397-08002B2CF9AE}" pid="21" name="Folder_Creator">
    <vt:lpwstr/>
  </property>
  <property fmtid="{D5CDD505-2E9C-101B-9397-08002B2CF9AE}" pid="22" name="Folder_CreatorDesc">
    <vt:lpwstr/>
  </property>
  <property fmtid="{D5CDD505-2E9C-101B-9397-08002B2CF9AE}" pid="23" name="Folder_CreateDate">
    <vt:lpwstr/>
  </property>
  <property fmtid="{D5CDD505-2E9C-101B-9397-08002B2CF9AE}" pid="24" name="Folder_Updater">
    <vt:lpwstr/>
  </property>
  <property fmtid="{D5CDD505-2E9C-101B-9397-08002B2CF9AE}" pid="25" name="Folder_UpdaterDesc">
    <vt:lpwstr/>
  </property>
  <property fmtid="{D5CDD505-2E9C-101B-9397-08002B2CF9AE}" pid="26" name="Folder_UpdateDate">
    <vt:lpwstr/>
  </property>
  <property fmtid="{D5CDD505-2E9C-101B-9397-08002B2CF9AE}" pid="27" name="Document_Number">
    <vt:lpwstr/>
  </property>
  <property fmtid="{D5CDD505-2E9C-101B-9397-08002B2CF9AE}" pid="28" name="Document_Name">
    <vt:lpwstr/>
  </property>
  <property fmtid="{D5CDD505-2E9C-101B-9397-08002B2CF9AE}" pid="29" name="Document_FileName">
    <vt:lpwstr/>
  </property>
  <property fmtid="{D5CDD505-2E9C-101B-9397-08002B2CF9AE}" pid="30" name="Document_Version">
    <vt:lpwstr/>
  </property>
  <property fmtid="{D5CDD505-2E9C-101B-9397-08002B2CF9AE}" pid="31" name="Document_VersionSeq">
    <vt:lpwstr/>
  </property>
  <property fmtid="{D5CDD505-2E9C-101B-9397-08002B2CF9AE}" pid="32" name="Document_Creator">
    <vt:lpwstr/>
  </property>
  <property fmtid="{D5CDD505-2E9C-101B-9397-08002B2CF9AE}" pid="33" name="Document_CreatorDesc">
    <vt:lpwstr/>
  </property>
  <property fmtid="{D5CDD505-2E9C-101B-9397-08002B2CF9AE}" pid="34" name="Document_CreateDate">
    <vt:lpwstr/>
  </property>
  <property fmtid="{D5CDD505-2E9C-101B-9397-08002B2CF9AE}" pid="35" name="Document_Updater">
    <vt:lpwstr/>
  </property>
  <property fmtid="{D5CDD505-2E9C-101B-9397-08002B2CF9AE}" pid="36" name="Document_UpdaterDesc">
    <vt:lpwstr/>
  </property>
  <property fmtid="{D5CDD505-2E9C-101B-9397-08002B2CF9AE}" pid="37" name="Document_UpdateDate">
    <vt:lpwstr/>
  </property>
  <property fmtid="{D5CDD505-2E9C-101B-9397-08002B2CF9AE}" pid="38" name="Document_Size">
    <vt:lpwstr/>
  </property>
  <property fmtid="{D5CDD505-2E9C-101B-9397-08002B2CF9AE}" pid="39" name="Document_Storage">
    <vt:lpwstr/>
  </property>
  <property fmtid="{D5CDD505-2E9C-101B-9397-08002B2CF9AE}" pid="40" name="Document_StorageDesc">
    <vt:lpwstr/>
  </property>
  <property fmtid="{D5CDD505-2E9C-101B-9397-08002B2CF9AE}" pid="41" name="Document_Department">
    <vt:lpwstr/>
  </property>
  <property fmtid="{D5CDD505-2E9C-101B-9397-08002B2CF9AE}" pid="42" name="Document_DepartmentDesc">
    <vt:lpwstr/>
  </property>
</Properties>
</file>