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showInkAnnotation="0"/>
  <mc:AlternateContent xmlns:mc="http://schemas.openxmlformats.org/markup-compatibility/2006">
    <mc:Choice Requires="x15">
      <x15ac:absPath xmlns:x15ac="http://schemas.microsoft.com/office/spreadsheetml/2010/11/ac" url="L:\LK201\06_Podwykonawcy\Proc_wyboru\090. Roboty torowe odcinek B Rębiechowo-Most Żukowo\01. Dokumenty na stronę\Zał. 1 Formularz oferty\"/>
    </mc:Choice>
  </mc:AlternateContent>
  <xr:revisionPtr revIDLastSave="0" documentId="13_ncr:1_{5B525F28-42A7-48F7-A44A-256C4DA48C1F}" xr6:coauthVersionLast="47" xr6:coauthVersionMax="47" xr10:uidLastSave="{00000000-0000-0000-0000-000000000000}"/>
  <bookViews>
    <workbookView xWindow="28680" yWindow="-120" windowWidth="29040" windowHeight="15720" tabRatio="860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ofertowy'!$A$1:$H$48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2" l="1"/>
  <c r="F18" i="22"/>
  <c r="F17" i="22"/>
  <c r="F16" i="22"/>
  <c r="F15" i="22"/>
  <c r="F7" i="22"/>
  <c r="F6" i="22"/>
  <c r="F5" i="22"/>
  <c r="F34" i="22"/>
  <c r="F33" i="22" s="1"/>
  <c r="F13" i="22"/>
  <c r="H42" i="22" l="1"/>
  <c r="H41" i="22" l="1"/>
  <c r="F39" i="22" l="1"/>
  <c r="F27" i="22" l="1"/>
  <c r="F28" i="22"/>
  <c r="F29" i="22"/>
  <c r="H33" i="22" l="1"/>
  <c r="H20" i="22"/>
  <c r="H18" i="22"/>
  <c r="H15" i="22"/>
  <c r="H23" i="22"/>
  <c r="H25" i="22"/>
  <c r="H22" i="22"/>
  <c r="H34" i="22"/>
  <c r="H31" i="22"/>
  <c r="H29" i="22"/>
  <c r="H28" i="22"/>
  <c r="H27" i="22"/>
  <c r="H10" i="22"/>
  <c r="H9" i="22"/>
  <c r="H8" i="22"/>
  <c r="H7" i="22"/>
  <c r="H6" i="22"/>
  <c r="H5" i="22"/>
  <c r="H19" i="22" l="1"/>
  <c r="H16" i="22"/>
  <c r="H26" i="22"/>
  <c r="H39" i="22"/>
  <c r="H24" i="22"/>
  <c r="H36" i="22"/>
  <c r="H13" i="22"/>
  <c r="H17" i="22"/>
  <c r="H43" i="22" l="1"/>
</calcChain>
</file>

<file path=xl/sharedStrings.xml><?xml version="1.0" encoding="utf-8"?>
<sst xmlns="http://schemas.openxmlformats.org/spreadsheetml/2006/main" count="138" uniqueCount="91">
  <si>
    <t>KOSZTORYS OFERTOWY</t>
  </si>
  <si>
    <t>J.m.</t>
  </si>
  <si>
    <t>1 d.1</t>
  </si>
  <si>
    <t>ST.02.07</t>
  </si>
  <si>
    <t>km</t>
  </si>
  <si>
    <t>2 d.1</t>
  </si>
  <si>
    <t>kpl.</t>
  </si>
  <si>
    <t>4 d.1</t>
  </si>
  <si>
    <t>m3</t>
  </si>
  <si>
    <t>5 d.1</t>
  </si>
  <si>
    <t>ST.02.08</t>
  </si>
  <si>
    <t>ST.02.09</t>
  </si>
  <si>
    <t>szt</t>
  </si>
  <si>
    <t>7 d.1</t>
  </si>
  <si>
    <t>Splot torowy</t>
  </si>
  <si>
    <t>ELEMENTY WIBROAKUSTYCZNE</t>
  </si>
  <si>
    <t>L.p.</t>
  </si>
  <si>
    <t>Nr STWiORB</t>
  </si>
  <si>
    <t xml:space="preserve">Nazwa i opis </t>
  </si>
  <si>
    <t>Cena jedn.</t>
  </si>
  <si>
    <t>Wartość netto</t>
  </si>
  <si>
    <t>Razem wartość kosztorysowa robót  netto</t>
  </si>
  <si>
    <t>8 d.1</t>
  </si>
  <si>
    <t>ROBOTY PODSTAWOWE</t>
  </si>
  <si>
    <t>Nawierzchnia stalowa torów</t>
  </si>
  <si>
    <t>Mechaniczne układanie toru bezstykowego z szyn 60E1 ze stali o gatunku R260 na podkładach strunobetonowych z przytwierdzeniem sprężystym. Rozstaw podkładów 0,6 m.</t>
  </si>
  <si>
    <t>Mechaniczne układanie toru bezstykowego z szyn 60E1 na podkładach strunobetonowych (pod odbojnice szynowe) z przytwierdzeniem sprężystym. Rozstaw podkładów 0,6 m, szyny ze stali R260 (wg projektu). Odbojnice szynowe wraz z dziobami ujęte w odrębnym opracowaniu.</t>
  </si>
  <si>
    <t>Mechaniczne układanie toru bezstykowego z szyn 60E1 ze stali o gatunku R350HT na podkładach strunobetonowych z przytwierdzeniem sprężystym. Rozstaw podkładów 0,6 m.</t>
  </si>
  <si>
    <t>Mechaniczne układanie toru bezstykowego z szyn 49E1 ze stali o gatunku R260 na podkładach strunobetonowych z przytwierdzeniem sprężystym. Rozstaw podkładów 0,6 m.</t>
  </si>
  <si>
    <t>37 d.3.2</t>
  </si>
  <si>
    <t>38 d.3.2</t>
  </si>
  <si>
    <t>39 d.3.2</t>
  </si>
  <si>
    <t>Nawierzchnia stalowa rozjazdów</t>
  </si>
  <si>
    <t>48 d.3.3</t>
  </si>
  <si>
    <t>49 d.3.3</t>
  </si>
  <si>
    <t>52 d.3.3</t>
  </si>
  <si>
    <t>Balastowanie i oprofilowanie torów/rozjazdów</t>
  </si>
  <si>
    <t>Balastowanie rozjazdów na podsypce z tłucznia przy użyciu podbijarki samoniwelującej, z podbiciem stabilizacyjnym i oprofilowaniem rozjazdu.</t>
  </si>
  <si>
    <t>Kozły oporowe</t>
  </si>
  <si>
    <t>Tłumiki akustyczne</t>
  </si>
  <si>
    <t>3.1</t>
  </si>
  <si>
    <t>Subwarstwa</t>
  </si>
  <si>
    <t>3.2</t>
  </si>
  <si>
    <t>3.3</t>
  </si>
  <si>
    <t>Mechaniczne układanie toru bezstykowego z szyn 60E1 ze stali o gatunku R260 na podrozjazdnicach strunobetonowych z przytwierdzeniem sprężystym.</t>
  </si>
  <si>
    <t>Mechaniczne układanie toru bezstykowego z szyn 49E1 ze stali o gatunku R260 na podrozjazdnicach strunobetonowych z przytwierdzeniem sprężystym.</t>
  </si>
  <si>
    <t>58 d.3.3</t>
  </si>
  <si>
    <t>3.4</t>
  </si>
  <si>
    <t>3.5</t>
  </si>
  <si>
    <t>3.8</t>
  </si>
  <si>
    <t>Ustawienie kozła oporowego samohamownego</t>
  </si>
  <si>
    <t>4.1</t>
  </si>
  <si>
    <t>Demontaż toru z szyn S60 na podkładach żelbetowych</t>
  </si>
  <si>
    <t>Demontaż toru z szyn S49 na podkładach żelbetowych</t>
  </si>
  <si>
    <t>41 d.3.2</t>
  </si>
  <si>
    <t>42 d.3.2</t>
  </si>
  <si>
    <t>43 d.3.2</t>
  </si>
  <si>
    <t>59 d.3.3</t>
  </si>
  <si>
    <t>60 d.3.3</t>
  </si>
  <si>
    <t>61 d.3.3</t>
  </si>
  <si>
    <t>Układanie toru wieloszynowego z szyn 60E1 R350 na podkładach drewnianych oraz części zwrotnicowych na podrojazdnicach betonowych z przytwierdzeniem sprężystym.</t>
  </si>
  <si>
    <t>Mechaniczne układanie toru bezstykowego z szyn 49E1 ze stali o gatunku R350HT na podkładach strunobetonowych z przytwierdzeniem sprężystym. Rozstaw podkładów 0,6 m (w tym ułożenie odcinka pod szyny przejsciowe).</t>
  </si>
  <si>
    <t>Zabudowa szyn przejściowych 60E1/49E1 (1 kpl = 1 para szyn)</t>
  </si>
  <si>
    <t>Mechaniczne układanie toru bezstykowego z szyn 60E1 ze stali o gatunku R350HT na podrozjazdnicach strunobetonowych z przytwierdzeniem sprężystym (w tym ułożenie odcinka pod szyny przejsciowe).</t>
  </si>
  <si>
    <t>ST.02.08, ST.02.09</t>
  </si>
  <si>
    <t>66 d.3.5</t>
  </si>
  <si>
    <t>Montaż tłumików akustycznych do szyn. (Jednostka obmiarowa 1 "km" obejmuje montaż absorberów dla dwóch toków szynowych toru pojedyńczego. Absorbety montowane po odbu stronach szyny).</t>
  </si>
  <si>
    <t>Demontaż toru z szyn S49 na podkładach drewnianych</t>
  </si>
  <si>
    <t>35 d.3.1</t>
  </si>
  <si>
    <t>46 d.3.3</t>
  </si>
  <si>
    <t>63 d.3.4</t>
  </si>
  <si>
    <t>65 d.3.5</t>
  </si>
  <si>
    <t>71 d.3.8</t>
  </si>
  <si>
    <t>72 d.4.1</t>
  </si>
  <si>
    <t>ST.02.08.</t>
  </si>
  <si>
    <t>Rozbiórka rozjazdu zwyczajnego z szyn S49 R-300 1:9 (rozjazd nr 2 Żukowo Wschodnie)</t>
  </si>
  <si>
    <t>Rozbiórka rozjazdu zwyczajnego z szyn S60 R-500 1:12 (rozjazd nr 11 Żukowo Wschodnie)</t>
  </si>
  <si>
    <t>Rozbiórka rozjazdu zwyczajnego z szyn S49 R-190 1:9 (rozjazd nr 6 Żukowo Wschodnie)</t>
  </si>
  <si>
    <t>ROBOTY ROZBIÓRKOWE OD KM 177,422 DO KM1 184,300 KM ISTNIEJĄCA LK 201</t>
  </si>
  <si>
    <t>Ułożenie dolnej warstwy z tłucznia kamiennego</t>
  </si>
  <si>
    <t>URZĄDZENIA DYLATACYJNE</t>
  </si>
  <si>
    <t>Lp. działania</t>
  </si>
  <si>
    <t>Montaż odbojnic (wiadukt drogowy KM 178,014)</t>
  </si>
  <si>
    <t>Montaż odbojnic (wiadukt drogowy KM 183,172)</t>
  </si>
  <si>
    <t>Mechaniczne balastowanie toru na podkładach strunobetonowych ułożonego na wcześniej przygotowanej warstwie tłucznia, z podbiciem stabilizacyjnym i oprofilowaniem toru. Wypełnienie międzytorzy podsypką tłuczniową</t>
  </si>
  <si>
    <t>Układanie rozjazdów zwyczajnych 60E1-190-1:9 na podrozjazdnicach strunobetonowych z przytwierdzeniem sprężystym (Żukowo Wsch. rozj. proj. nr. - 7) - rozjazd dostarczany w blokach.</t>
  </si>
  <si>
    <t>Układanie rozjazdów zwyczajnych 60E1-500-1:12 na podrozjazdnicach strunobetonowych z przytwierdzeniem sprężystym (Żukowo Wsch. - rozj. proj. nr. 3, 5) - rozjazd dostarczany w blokach.</t>
  </si>
  <si>
    <t>Układanie rozjazdów zwyczajnych 60E1-760-1:14 na podrozjazdnicach strunobetonowych z przytwierdzeniem sprężystym (Żukowo Wsch.- rozj. proj. nr: 1, 2, 4, 6, 23, 24, 25, 26, 27, 28 ). Rozjazd dostarczany w blokach.</t>
  </si>
  <si>
    <t>Układanie rozjazdów łukowych wykonanych z rozjazdów 60E1-300-1:9 na podrozjazdnicach strunobetonowych z przytwierdzeniem sprężystym (Żukowo Wsch. - rozj. proj. nr 8, 21 i 22) - rozjazd dostarczany w blokach.</t>
  </si>
  <si>
    <t>Układanie rozjazdów łukowych wykonanych z rozjazdów 49E1-300-1:9 na podrozjazdnicach strunobetonowych z przytwierdzeniem sprężystym (Żukowo Wsch.- rozj. proj. nr 11) - rozjazd dostarczany w blokach.</t>
  </si>
  <si>
    <t>Ilość most Żukowo - Rębiechowo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</si>
</sst>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.00.00.00\."/>
  </numFmts>
  <fonts count="15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" fillId="0" borderId="0" applyNumberFormat="0" applyFill="0" applyBorder="0" applyAlignment="0" applyProtection="0"/>
    <xf numFmtId="0" fontId="13" fillId="0" borderId="0"/>
    <xf numFmtId="0" fontId="13" fillId="0" borderId="0" applyProtection="0"/>
    <xf numFmtId="0" fontId="13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4" fontId="0" fillId="0" borderId="0" xfId="0" applyNumberFormat="1" applyAlignment="1">
      <alignment horizontal="center" vertical="center" wrapText="1"/>
    </xf>
    <xf numFmtId="0" fontId="11" fillId="0" borderId="0" xfId="0" applyFont="1" applyAlignment="1">
      <alignment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5" fontId="2" fillId="2" borderId="4" xfId="3" applyNumberFormat="1" applyFont="1" applyFill="1" applyBorder="1" applyAlignment="1">
      <alignment horizontal="center" vertical="center"/>
    </xf>
    <xf numFmtId="165" fontId="2" fillId="2" borderId="6" xfId="3" applyNumberFormat="1" applyFont="1" applyFill="1" applyBorder="1" applyAlignment="1">
      <alignment horizontal="center" vertical="center"/>
    </xf>
    <xf numFmtId="4" fontId="14" fillId="2" borderId="1" xfId="2" applyNumberFormat="1" applyFont="1" applyFill="1" applyBorder="1" applyAlignment="1" applyProtection="1">
      <alignment horizontal="center" vertical="center"/>
    </xf>
    <xf numFmtId="4" fontId="2" fillId="2" borderId="4" xfId="2" applyNumberFormat="1" applyFont="1" applyFill="1" applyBorder="1" applyAlignment="1" applyProtection="1">
      <alignment horizontal="center" vertical="center"/>
    </xf>
    <xf numFmtId="0" fontId="9" fillId="2" borderId="7" xfId="2" applyNumberFormat="1" applyFont="1" applyFill="1" applyBorder="1" applyAlignment="1" applyProtection="1">
      <alignment horizontal="center" vertical="center"/>
    </xf>
    <xf numFmtId="0" fontId="4" fillId="0" borderId="4" xfId="4" quotePrefix="1" applyFont="1" applyBorder="1" applyAlignment="1">
      <alignment horizontal="left" vertical="center" wrapText="1"/>
    </xf>
    <xf numFmtId="0" fontId="4" fillId="0" borderId="4" xfId="5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4" fontId="2" fillId="2" borderId="4" xfId="2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9 2" xfId="5" xr:uid="{16C9D6F9-8A2C-40B8-9C89-6D192B7E8754}"/>
    <cellStyle name="Normalny_SL_KOSZT_Dobr_1 2" xfId="4" xr:uid="{C45BBC03-1E0B-45B7-ACEB-DA90BD42C824}"/>
    <cellStyle name="Normalny_TER_Milsko_droga_KO_OBIEKTY" xfId="3" xr:uid="{DC2ED04C-1234-4C00-B638-5E6DBFAD46B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"/>
  <sheetViews>
    <sheetView tabSelected="1" view="pageBreakPreview" zoomScaleNormal="70" zoomScaleSheetLayoutView="100" zoomScalePageLayoutView="80" workbookViewId="0">
      <selection activeCell="F19" sqref="F19"/>
    </sheetView>
  </sheetViews>
  <sheetFormatPr defaultRowHeight="13.2" x14ac:dyDescent="0.25"/>
  <cols>
    <col min="1" max="1" width="10.6640625" style="3" customWidth="1"/>
    <col min="2" max="2" width="9.6640625" style="3" customWidth="1"/>
    <col min="3" max="3" width="12.88671875" style="6" customWidth="1"/>
    <col min="4" max="4" width="39.44140625" style="3" customWidth="1"/>
    <col min="5" max="5" width="6.44140625" style="2" customWidth="1"/>
    <col min="6" max="6" width="14" style="4" customWidth="1"/>
    <col min="7" max="7" width="13.88671875" style="5" bestFit="1" customWidth="1"/>
    <col min="8" max="8" width="15.109375" style="37" customWidth="1"/>
  </cols>
  <sheetData>
    <row r="1" spans="1:8" ht="12.7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</row>
    <row r="2" spans="1:8" s="1" customFormat="1" x14ac:dyDescent="0.25">
      <c r="A2" s="40" t="s">
        <v>16</v>
      </c>
      <c r="B2" s="39" t="s">
        <v>17</v>
      </c>
      <c r="C2" s="39" t="s">
        <v>81</v>
      </c>
      <c r="D2" s="39" t="s">
        <v>18</v>
      </c>
      <c r="E2" s="39" t="s">
        <v>1</v>
      </c>
      <c r="F2" s="43" t="s">
        <v>90</v>
      </c>
      <c r="G2" s="41" t="s">
        <v>19</v>
      </c>
      <c r="H2" s="42" t="s">
        <v>20</v>
      </c>
    </row>
    <row r="3" spans="1:8" s="1" customFormat="1" ht="20.399999999999999" customHeight="1" x14ac:dyDescent="0.25">
      <c r="A3" s="40"/>
      <c r="B3" s="39"/>
      <c r="C3" s="39"/>
      <c r="D3" s="39"/>
      <c r="E3" s="39"/>
      <c r="F3" s="44"/>
      <c r="G3" s="41"/>
      <c r="H3" s="42"/>
    </row>
    <row r="4" spans="1:8" s="1" customFormat="1" ht="24" x14ac:dyDescent="0.25">
      <c r="A4" s="7">
        <v>1</v>
      </c>
      <c r="B4" s="8"/>
      <c r="C4" s="9"/>
      <c r="D4" s="21" t="s">
        <v>78</v>
      </c>
      <c r="E4" s="8"/>
      <c r="F4" s="10"/>
      <c r="G4" s="11"/>
      <c r="H4" s="33"/>
    </row>
    <row r="5" spans="1:8" ht="31.5" customHeight="1" x14ac:dyDescent="0.25">
      <c r="A5" s="12" t="s">
        <v>2</v>
      </c>
      <c r="B5" s="12" t="s">
        <v>3</v>
      </c>
      <c r="C5" s="12">
        <v>100106697</v>
      </c>
      <c r="D5" s="12" t="s">
        <v>52</v>
      </c>
      <c r="E5" s="12" t="s">
        <v>4</v>
      </c>
      <c r="F5" s="13">
        <f>0.468+0.896+0.1</f>
        <v>1.464</v>
      </c>
      <c r="G5" s="14"/>
      <c r="H5" s="19">
        <f>ROUND($F5*G5,2)</f>
        <v>0</v>
      </c>
    </row>
    <row r="6" spans="1:8" ht="34.5" customHeight="1" x14ac:dyDescent="0.25">
      <c r="A6" s="12" t="s">
        <v>5</v>
      </c>
      <c r="B6" s="12" t="s">
        <v>3</v>
      </c>
      <c r="C6" s="12">
        <v>100106698</v>
      </c>
      <c r="D6" s="12" t="s">
        <v>53</v>
      </c>
      <c r="E6" s="12" t="s">
        <v>4</v>
      </c>
      <c r="F6" s="13">
        <f>0.051+2.877+1.347+0.042+1.091+0.614+0.269+0.1</f>
        <v>6.391</v>
      </c>
      <c r="G6" s="14"/>
      <c r="H6" s="19">
        <f t="shared" ref="H6:H10" si="0">ROUND($F6*G6,2)</f>
        <v>0</v>
      </c>
    </row>
    <row r="7" spans="1:8" ht="42.75" customHeight="1" x14ac:dyDescent="0.25">
      <c r="A7" s="12" t="s">
        <v>7</v>
      </c>
      <c r="B7" s="12" t="s">
        <v>3</v>
      </c>
      <c r="C7" s="12">
        <v>100106700</v>
      </c>
      <c r="D7" s="12" t="s">
        <v>67</v>
      </c>
      <c r="E7" s="12" t="s">
        <v>4</v>
      </c>
      <c r="F7" s="13">
        <f>0.012+0.005+0.1</f>
        <v>0.11700000000000001</v>
      </c>
      <c r="G7" s="14"/>
      <c r="H7" s="19">
        <f t="shared" si="0"/>
        <v>0</v>
      </c>
    </row>
    <row r="8" spans="1:8" ht="22.8" x14ac:dyDescent="0.25">
      <c r="A8" s="12" t="s">
        <v>9</v>
      </c>
      <c r="B8" s="12" t="s">
        <v>3</v>
      </c>
      <c r="C8" s="12">
        <v>100106701</v>
      </c>
      <c r="D8" s="12" t="s">
        <v>77</v>
      </c>
      <c r="E8" s="12" t="s">
        <v>6</v>
      </c>
      <c r="F8" s="13">
        <v>1</v>
      </c>
      <c r="G8" s="14"/>
      <c r="H8" s="19">
        <f t="shared" si="0"/>
        <v>0</v>
      </c>
    </row>
    <row r="9" spans="1:8" ht="22.8" x14ac:dyDescent="0.25">
      <c r="A9" s="12" t="s">
        <v>13</v>
      </c>
      <c r="B9" s="12" t="s">
        <v>3</v>
      </c>
      <c r="C9" s="12">
        <v>100106703</v>
      </c>
      <c r="D9" s="12" t="s">
        <v>75</v>
      </c>
      <c r="E9" s="12" t="s">
        <v>6</v>
      </c>
      <c r="F9" s="13">
        <v>1</v>
      </c>
      <c r="G9" s="14"/>
      <c r="H9" s="19">
        <f t="shared" si="0"/>
        <v>0</v>
      </c>
    </row>
    <row r="10" spans="1:8" ht="22.8" x14ac:dyDescent="0.25">
      <c r="A10" s="12" t="s">
        <v>22</v>
      </c>
      <c r="B10" s="12" t="s">
        <v>3</v>
      </c>
      <c r="C10" s="12">
        <v>100106704</v>
      </c>
      <c r="D10" s="12" t="s">
        <v>76</v>
      </c>
      <c r="E10" s="12" t="s">
        <v>6</v>
      </c>
      <c r="F10" s="13">
        <v>1</v>
      </c>
      <c r="G10" s="14"/>
      <c r="H10" s="19">
        <f t="shared" si="0"/>
        <v>0</v>
      </c>
    </row>
    <row r="11" spans="1:8" x14ac:dyDescent="0.25">
      <c r="A11" s="15">
        <v>3</v>
      </c>
      <c r="B11" s="15"/>
      <c r="C11" s="15"/>
      <c r="D11" s="15" t="s">
        <v>23</v>
      </c>
      <c r="E11" s="15"/>
      <c r="F11" s="16"/>
      <c r="G11" s="17"/>
      <c r="H11" s="20"/>
    </row>
    <row r="12" spans="1:8" x14ac:dyDescent="0.25">
      <c r="A12" s="15" t="s">
        <v>40</v>
      </c>
      <c r="B12" s="15"/>
      <c r="C12" s="15"/>
      <c r="D12" s="15" t="s">
        <v>41</v>
      </c>
      <c r="E12" s="15"/>
      <c r="F12" s="16"/>
      <c r="G12" s="17"/>
      <c r="H12" s="20"/>
    </row>
    <row r="13" spans="1:8" ht="39" customHeight="1" x14ac:dyDescent="0.25">
      <c r="A13" s="12" t="s">
        <v>68</v>
      </c>
      <c r="B13" s="12" t="s">
        <v>10</v>
      </c>
      <c r="C13" s="12">
        <v>100106736</v>
      </c>
      <c r="D13" s="12" t="s">
        <v>79</v>
      </c>
      <c r="E13" s="12" t="s">
        <v>8</v>
      </c>
      <c r="F13" s="13">
        <f>(36146.93+5577.9645)/2</f>
        <v>20862.447</v>
      </c>
      <c r="G13" s="14"/>
      <c r="H13" s="19">
        <f>ROUND($F13*G13,2)</f>
        <v>0</v>
      </c>
    </row>
    <row r="14" spans="1:8" x14ac:dyDescent="0.25">
      <c r="A14" s="15" t="s">
        <v>42</v>
      </c>
      <c r="B14" s="15"/>
      <c r="C14" s="15"/>
      <c r="D14" s="15" t="s">
        <v>24</v>
      </c>
      <c r="E14" s="15"/>
      <c r="F14" s="16"/>
      <c r="G14" s="17"/>
      <c r="H14" s="20"/>
    </row>
    <row r="15" spans="1:8" ht="62.25" customHeight="1" x14ac:dyDescent="0.25">
      <c r="A15" s="12" t="s">
        <v>29</v>
      </c>
      <c r="B15" s="12" t="s">
        <v>10</v>
      </c>
      <c r="C15" s="12">
        <v>100106738</v>
      </c>
      <c r="D15" s="12" t="s">
        <v>25</v>
      </c>
      <c r="E15" s="12" t="s">
        <v>4</v>
      </c>
      <c r="F15" s="13">
        <f>(108.699+124.998+338.651+124.637+304.52+253.617+114.877+765.197+114.877+65.23+40+71.28+50+50+58.194+39.972+148.46+39.977+64.03+40+40+64.535+40+679.321+30+56.119+30+30+56.119+30+11.3+82.732+70.895+70.143+70.895+497.751+30.018+64.486+30.018+93+89.793+119.277+284.009+7.451+7.451+7.451+7.451+7.451+7.451+7.451+7.451+7.451+6.936+1.523+7.451+7.451+7.451+7.451+7.451+7.451+7.451+7.451+7.451+7.451+7.451+7.451+30+58.162+30.01+64.031+30+66.673+30+30+72.352+30+122.832+129.34+189+181.446+276.133+253.555+115+766.959+115+65.487+40+65.728+40+40+83.436+40+148.452+40+75.624+40+40+78.302+40+957.346+82.663+71+70.456+71+497.708+30+64.392+30+42.059+104.272+21.423+125.252+295.986+(10*6.226)+3.636+5.018+(9*6.226)+30+76.16+30+204.226+71.837+181.716+44.927+41.371+44.631+45.137)/1000+0.1</f>
        <v>12.541</v>
      </c>
      <c r="G15" s="14"/>
      <c r="H15" s="19">
        <f>ROUND($F15*G15,2)</f>
        <v>0</v>
      </c>
    </row>
    <row r="16" spans="1:8" ht="84" customHeight="1" x14ac:dyDescent="0.25">
      <c r="A16" s="12" t="s">
        <v>30</v>
      </c>
      <c r="B16" s="12" t="s">
        <v>10</v>
      </c>
      <c r="C16" s="12">
        <v>100106739</v>
      </c>
      <c r="D16" s="12" t="s">
        <v>26</v>
      </c>
      <c r="E16" s="12" t="s">
        <v>4</v>
      </c>
      <c r="F16" s="13">
        <f>(50+230.995+50+193)/1000+0.1</f>
        <v>0.624</v>
      </c>
      <c r="G16" s="14"/>
      <c r="H16" s="19">
        <f t="shared" ref="H16:H20" si="1">ROUND($F16*G16,2)</f>
        <v>0</v>
      </c>
    </row>
    <row r="17" spans="1:8" ht="61.5" customHeight="1" x14ac:dyDescent="0.25">
      <c r="A17" s="12" t="s">
        <v>31</v>
      </c>
      <c r="B17" s="12" t="s">
        <v>10</v>
      </c>
      <c r="C17" s="12">
        <v>100106740</v>
      </c>
      <c r="D17" s="12" t="s">
        <v>27</v>
      </c>
      <c r="E17" s="12" t="s">
        <v>4</v>
      </c>
      <c r="F17" s="13">
        <f>(123.136+63.28)/1000+0.1</f>
        <v>0.28599999999999998</v>
      </c>
      <c r="G17" s="14"/>
      <c r="H17" s="19">
        <f t="shared" si="1"/>
        <v>0</v>
      </c>
    </row>
    <row r="18" spans="1:8" ht="68.25" customHeight="1" x14ac:dyDescent="0.25">
      <c r="A18" s="12" t="s">
        <v>54</v>
      </c>
      <c r="B18" s="12" t="s">
        <v>10</v>
      </c>
      <c r="C18" s="12">
        <v>100106742</v>
      </c>
      <c r="D18" s="12" t="s">
        <v>28</v>
      </c>
      <c r="E18" s="12" t="s">
        <v>4</v>
      </c>
      <c r="F18" s="13">
        <f>(3.495+27.641+70.762+69.747+70.762+39.984+30+40.669+30+30+90.011+30+220.916+225.703+30.662+71.133+70.852+71.133+39.799+30+90.01+30+30+90.01+30+202.416)/1000+0.1</f>
        <v>1.8660000000000001</v>
      </c>
      <c r="G18" s="14"/>
      <c r="H18" s="19">
        <f t="shared" si="1"/>
        <v>0</v>
      </c>
    </row>
    <row r="19" spans="1:8" ht="74.25" customHeight="1" x14ac:dyDescent="0.25">
      <c r="A19" s="12" t="s">
        <v>55</v>
      </c>
      <c r="B19" s="12" t="s">
        <v>10</v>
      </c>
      <c r="C19" s="12">
        <v>100106743</v>
      </c>
      <c r="D19" s="12" t="s">
        <v>61</v>
      </c>
      <c r="E19" s="12" t="s">
        <v>4</v>
      </c>
      <c r="F19" s="13">
        <f>(5.813+0.487+30+55.718+30+3.837+6.31+6.3+30+24.423+30+8.946+6.31)/1000+0.1</f>
        <v>0.33800000000000002</v>
      </c>
      <c r="G19" s="14"/>
      <c r="H19" s="19">
        <f t="shared" si="1"/>
        <v>0</v>
      </c>
    </row>
    <row r="20" spans="1:8" ht="22.8" x14ac:dyDescent="0.25">
      <c r="A20" s="12" t="s">
        <v>56</v>
      </c>
      <c r="B20" s="12" t="s">
        <v>10</v>
      </c>
      <c r="C20" s="12">
        <v>100106744</v>
      </c>
      <c r="D20" s="12" t="s">
        <v>62</v>
      </c>
      <c r="E20" s="12" t="s">
        <v>6</v>
      </c>
      <c r="F20" s="13">
        <v>4</v>
      </c>
      <c r="G20" s="14"/>
      <c r="H20" s="19">
        <f t="shared" si="1"/>
        <v>0</v>
      </c>
    </row>
    <row r="21" spans="1:8" x14ac:dyDescent="0.25">
      <c r="A21" s="15" t="s">
        <v>43</v>
      </c>
      <c r="B21" s="15"/>
      <c r="C21" s="15"/>
      <c r="D21" s="15" t="s">
        <v>32</v>
      </c>
      <c r="E21" s="15"/>
      <c r="F21" s="16"/>
      <c r="G21" s="17"/>
      <c r="H21" s="20"/>
    </row>
    <row r="22" spans="1:8" ht="47.25" customHeight="1" x14ac:dyDescent="0.25">
      <c r="A22" s="12" t="s">
        <v>69</v>
      </c>
      <c r="B22" s="12" t="s">
        <v>11</v>
      </c>
      <c r="C22" s="12">
        <v>100106747</v>
      </c>
      <c r="D22" s="12" t="s">
        <v>85</v>
      </c>
      <c r="E22" s="12" t="s">
        <v>12</v>
      </c>
      <c r="F22" s="13">
        <v>1</v>
      </c>
      <c r="G22" s="14"/>
      <c r="H22" s="19">
        <f>ROUND($F22*G22,2)</f>
        <v>0</v>
      </c>
    </row>
    <row r="23" spans="1:8" ht="63.75" customHeight="1" x14ac:dyDescent="0.25">
      <c r="A23" s="12" t="s">
        <v>33</v>
      </c>
      <c r="B23" s="12" t="s">
        <v>11</v>
      </c>
      <c r="C23" s="12">
        <v>100106749</v>
      </c>
      <c r="D23" s="12" t="s">
        <v>86</v>
      </c>
      <c r="E23" s="12" t="s">
        <v>12</v>
      </c>
      <c r="F23" s="13">
        <v>2</v>
      </c>
      <c r="G23" s="14"/>
      <c r="H23" s="19">
        <f t="shared" ref="H23:H31" si="2">ROUND($F23*G23,2)</f>
        <v>0</v>
      </c>
    </row>
    <row r="24" spans="1:8" ht="63.75" customHeight="1" x14ac:dyDescent="0.25">
      <c r="A24" s="12" t="s">
        <v>34</v>
      </c>
      <c r="B24" s="12" t="s">
        <v>11</v>
      </c>
      <c r="C24" s="12">
        <v>100106750</v>
      </c>
      <c r="D24" s="12" t="s">
        <v>87</v>
      </c>
      <c r="E24" s="12" t="s">
        <v>12</v>
      </c>
      <c r="F24" s="13">
        <v>10</v>
      </c>
      <c r="G24" s="14"/>
      <c r="H24" s="19">
        <f t="shared" si="2"/>
        <v>0</v>
      </c>
    </row>
    <row r="25" spans="1:8" ht="63.75" customHeight="1" x14ac:dyDescent="0.25">
      <c r="A25" s="12" t="s">
        <v>35</v>
      </c>
      <c r="B25" s="12" t="s">
        <v>11</v>
      </c>
      <c r="C25" s="12">
        <v>100106753</v>
      </c>
      <c r="D25" s="12" t="s">
        <v>88</v>
      </c>
      <c r="E25" s="12" t="s">
        <v>12</v>
      </c>
      <c r="F25" s="13">
        <v>3</v>
      </c>
      <c r="G25" s="14"/>
      <c r="H25" s="19">
        <f t="shared" si="2"/>
        <v>0</v>
      </c>
    </row>
    <row r="26" spans="1:8" ht="63" customHeight="1" x14ac:dyDescent="0.25">
      <c r="A26" s="12" t="s">
        <v>46</v>
      </c>
      <c r="B26" s="12" t="s">
        <v>11</v>
      </c>
      <c r="C26" s="12">
        <v>100106759</v>
      </c>
      <c r="D26" s="12" t="s">
        <v>89</v>
      </c>
      <c r="E26" s="12" t="s">
        <v>12</v>
      </c>
      <c r="F26" s="13">
        <v>1</v>
      </c>
      <c r="G26" s="14"/>
      <c r="H26" s="19">
        <f t="shared" si="2"/>
        <v>0</v>
      </c>
    </row>
    <row r="27" spans="1:8" ht="54.75" customHeight="1" x14ac:dyDescent="0.25">
      <c r="A27" s="12" t="s">
        <v>57</v>
      </c>
      <c r="B27" s="12" t="s">
        <v>10</v>
      </c>
      <c r="C27" s="12">
        <v>100106760</v>
      </c>
      <c r="D27" s="12" t="s">
        <v>44</v>
      </c>
      <c r="E27" s="12" t="s">
        <v>4</v>
      </c>
      <c r="F27" s="13">
        <f>5.7+12.292+12.342+11.692+16.18+12.333+12.308+12.288+5.7+10.073+10.516+10.369+9.859</f>
        <v>141.65199999999999</v>
      </c>
      <c r="G27" s="14"/>
      <c r="H27" s="19">
        <f t="shared" si="2"/>
        <v>0</v>
      </c>
    </row>
    <row r="28" spans="1:8" ht="74.25" customHeight="1" x14ac:dyDescent="0.25">
      <c r="A28" s="12" t="s">
        <v>58</v>
      </c>
      <c r="B28" s="12" t="s">
        <v>10</v>
      </c>
      <c r="C28" s="12">
        <v>100106761</v>
      </c>
      <c r="D28" s="12" t="s">
        <v>63</v>
      </c>
      <c r="E28" s="12" t="s">
        <v>4</v>
      </c>
      <c r="F28" s="13">
        <f>12.334+12.462+12.293+12.207+15+18.907+21.969+12+6+15+12.291+5.683+19.265+9.569+6+13.538+11.693+5.7+5.69+5.7+5.69</f>
        <v>238.99100000000001</v>
      </c>
      <c r="G28" s="14"/>
      <c r="H28" s="19">
        <f t="shared" si="2"/>
        <v>0</v>
      </c>
    </row>
    <row r="29" spans="1:8" ht="58.5" customHeight="1" x14ac:dyDescent="0.25">
      <c r="A29" s="12" t="s">
        <v>59</v>
      </c>
      <c r="B29" s="12" t="s">
        <v>10</v>
      </c>
      <c r="C29" s="12">
        <v>100106762</v>
      </c>
      <c r="D29" s="12" t="s">
        <v>45</v>
      </c>
      <c r="E29" s="12" t="s">
        <v>4</v>
      </c>
      <c r="F29" s="13">
        <f>3+10.11+10.109</f>
        <v>23.219000000000001</v>
      </c>
      <c r="G29" s="14"/>
      <c r="H29" s="19">
        <f t="shared" si="2"/>
        <v>0</v>
      </c>
    </row>
    <row r="30" spans="1:8" x14ac:dyDescent="0.25">
      <c r="A30" s="15" t="s">
        <v>47</v>
      </c>
      <c r="B30" s="15"/>
      <c r="C30" s="15"/>
      <c r="D30" s="15" t="s">
        <v>14</v>
      </c>
      <c r="E30" s="15"/>
      <c r="F30" s="16"/>
      <c r="G30" s="17"/>
      <c r="H30" s="17"/>
    </row>
    <row r="31" spans="1:8" ht="54" customHeight="1" x14ac:dyDescent="0.25">
      <c r="A31" s="12" t="s">
        <v>70</v>
      </c>
      <c r="B31" s="12" t="s">
        <v>64</v>
      </c>
      <c r="C31" s="12">
        <v>100106765</v>
      </c>
      <c r="D31" s="12" t="s">
        <v>60</v>
      </c>
      <c r="E31" s="12" t="s">
        <v>4</v>
      </c>
      <c r="F31" s="13">
        <v>0.3</v>
      </c>
      <c r="G31" s="14"/>
      <c r="H31" s="19">
        <f t="shared" si="2"/>
        <v>0</v>
      </c>
    </row>
    <row r="32" spans="1:8" ht="32.25" customHeight="1" x14ac:dyDescent="0.25">
      <c r="A32" s="15" t="s">
        <v>48</v>
      </c>
      <c r="B32" s="15"/>
      <c r="C32" s="15"/>
      <c r="D32" s="15" t="s">
        <v>36</v>
      </c>
      <c r="E32" s="15"/>
      <c r="F32" s="16"/>
      <c r="G32" s="17"/>
      <c r="H32" s="20"/>
    </row>
    <row r="33" spans="1:8" ht="65.25" customHeight="1" x14ac:dyDescent="0.25">
      <c r="A33" s="12" t="s">
        <v>71</v>
      </c>
      <c r="B33" s="12" t="s">
        <v>10</v>
      </c>
      <c r="C33" s="12">
        <v>100106766</v>
      </c>
      <c r="D33" s="12" t="s">
        <v>84</v>
      </c>
      <c r="E33" s="12" t="s">
        <v>8</v>
      </c>
      <c r="F33" s="13">
        <f>(36146.93+5577.9645)/2-F34</f>
        <v>19702.447</v>
      </c>
      <c r="G33" s="14"/>
      <c r="H33" s="19">
        <f>ROUND($F33*G33,2)</f>
        <v>0</v>
      </c>
    </row>
    <row r="34" spans="1:8" ht="52.5" customHeight="1" x14ac:dyDescent="0.25">
      <c r="A34" s="12" t="s">
        <v>65</v>
      </c>
      <c r="B34" s="12" t="s">
        <v>11</v>
      </c>
      <c r="C34" s="12">
        <v>100106767</v>
      </c>
      <c r="D34" s="12" t="s">
        <v>37</v>
      </c>
      <c r="E34" s="12" t="s">
        <v>8</v>
      </c>
      <c r="F34" s="13">
        <f>((F22*80)+(F23*122)+(F24*160)+(F25*99)+(F26*99))/2</f>
        <v>1160</v>
      </c>
      <c r="G34" s="14"/>
      <c r="H34" s="19">
        <f>ROUND($F34*G34,2)</f>
        <v>0</v>
      </c>
    </row>
    <row r="35" spans="1:8" x14ac:dyDescent="0.25">
      <c r="A35" s="15" t="s">
        <v>49</v>
      </c>
      <c r="B35" s="15"/>
      <c r="C35" s="15"/>
      <c r="D35" s="15" t="s">
        <v>38</v>
      </c>
      <c r="E35" s="15"/>
      <c r="F35" s="16"/>
      <c r="G35" s="17"/>
      <c r="H35" s="20"/>
    </row>
    <row r="36" spans="1:8" x14ac:dyDescent="0.25">
      <c r="A36" s="12" t="s">
        <v>72</v>
      </c>
      <c r="B36" s="12" t="s">
        <v>10</v>
      </c>
      <c r="C36" s="12">
        <v>100106772</v>
      </c>
      <c r="D36" s="12" t="s">
        <v>50</v>
      </c>
      <c r="E36" s="12" t="s">
        <v>12</v>
      </c>
      <c r="F36" s="13">
        <v>5</v>
      </c>
      <c r="G36" s="14"/>
      <c r="H36" s="19">
        <f>ROUND($F36*G36,2)</f>
        <v>0</v>
      </c>
    </row>
    <row r="37" spans="1:8" x14ac:dyDescent="0.25">
      <c r="A37" s="15">
        <v>4</v>
      </c>
      <c r="B37" s="15"/>
      <c r="C37" s="15"/>
      <c r="D37" s="15" t="s">
        <v>15</v>
      </c>
      <c r="E37" s="15"/>
      <c r="F37" s="16"/>
      <c r="G37" s="17"/>
      <c r="H37" s="20"/>
    </row>
    <row r="38" spans="1:8" x14ac:dyDescent="0.25">
      <c r="A38" s="15" t="s">
        <v>51</v>
      </c>
      <c r="B38" s="15"/>
      <c r="C38" s="15"/>
      <c r="D38" s="15" t="s">
        <v>39</v>
      </c>
      <c r="E38" s="15"/>
      <c r="F38" s="16"/>
      <c r="G38" s="17"/>
      <c r="H38" s="20"/>
    </row>
    <row r="39" spans="1:8" ht="70.2" customHeight="1" x14ac:dyDescent="0.25">
      <c r="A39" s="18" t="s">
        <v>73</v>
      </c>
      <c r="B39" s="12" t="s">
        <v>10</v>
      </c>
      <c r="C39" s="12">
        <v>100106773</v>
      </c>
      <c r="D39" s="12" t="s">
        <v>66</v>
      </c>
      <c r="E39" s="12" t="s">
        <v>4</v>
      </c>
      <c r="F39" s="13">
        <f>0.18+0.172+0.608</f>
        <v>0.96</v>
      </c>
      <c r="G39" s="14"/>
      <c r="H39" s="19">
        <f>ROUND($F39*G39,2)</f>
        <v>0</v>
      </c>
    </row>
    <row r="40" spans="1:8" x14ac:dyDescent="0.25">
      <c r="A40" s="25"/>
      <c r="B40" s="26"/>
      <c r="C40" s="15"/>
      <c r="D40" s="29" t="s">
        <v>80</v>
      </c>
      <c r="E40" s="27"/>
      <c r="F40" s="28"/>
      <c r="G40" s="28"/>
      <c r="H40" s="34"/>
    </row>
    <row r="41" spans="1:8" x14ac:dyDescent="0.25">
      <c r="A41" s="22"/>
      <c r="B41" s="23" t="s">
        <v>74</v>
      </c>
      <c r="C41" s="23">
        <v>100110932</v>
      </c>
      <c r="D41" s="30" t="s">
        <v>82</v>
      </c>
      <c r="E41" s="31" t="s">
        <v>6</v>
      </c>
      <c r="F41" s="24">
        <v>2</v>
      </c>
      <c r="G41" s="14"/>
      <c r="H41" s="35">
        <f>ROUND($F41*G41,2)</f>
        <v>0</v>
      </c>
    </row>
    <row r="42" spans="1:8" x14ac:dyDescent="0.25">
      <c r="A42" s="22"/>
      <c r="B42" s="23" t="s">
        <v>74</v>
      </c>
      <c r="C42" s="23">
        <v>100111005</v>
      </c>
      <c r="D42" s="32" t="s">
        <v>83</v>
      </c>
      <c r="E42" s="31" t="s">
        <v>6</v>
      </c>
      <c r="F42" s="24">
        <v>2</v>
      </c>
      <c r="G42" s="14"/>
      <c r="H42" s="35">
        <f>ROUND($F42*G42,2)</f>
        <v>0</v>
      </c>
    </row>
    <row r="43" spans="1:8" ht="27.75" customHeight="1" x14ac:dyDescent="0.25">
      <c r="A43" s="38" t="s">
        <v>21</v>
      </c>
      <c r="B43" s="38"/>
      <c r="C43" s="38"/>
      <c r="D43" s="38"/>
      <c r="E43" s="38"/>
      <c r="F43" s="38"/>
      <c r="G43" s="38"/>
      <c r="H43" s="36">
        <f>SUM(H5:H42)</f>
        <v>0</v>
      </c>
    </row>
  </sheetData>
  <mergeCells count="10">
    <mergeCell ref="A43:G43"/>
    <mergeCell ref="A1:H1"/>
    <mergeCell ref="A2:A3"/>
    <mergeCell ref="B2:B3"/>
    <mergeCell ref="C2:C3"/>
    <mergeCell ref="D2:D3"/>
    <mergeCell ref="E2:E3"/>
    <mergeCell ref="G2:G3"/>
    <mergeCell ref="H2:H3"/>
    <mergeCell ref="F2:F3"/>
  </mergeCells>
  <phoneticPr fontId="5" type="noConversion"/>
  <pageMargins left="0.70866141732283472" right="0.70866141732283472" top="0.82677165354330717" bottom="0.74803149606299213" header="0.31496062992125984" footer="0.31496062992125984"/>
  <pageSetup paperSize="9" scale="72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INWESTORSKI</oddHeader>
    <oddFooter>&amp;LWersja 10&amp;R&amp;P z 8</oddFooter>
  </headerFooter>
  <rowBreaks count="1" manualBreakCount="1">
    <brk id="3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Samkowski, Mateusz</cp:lastModifiedBy>
  <cp:lastPrinted>2023-12-14T14:53:50Z</cp:lastPrinted>
  <dcterms:created xsi:type="dcterms:W3CDTF">2014-06-03T15:49:30Z</dcterms:created>
  <dcterms:modified xsi:type="dcterms:W3CDTF">2025-04-16T07:50:25Z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